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jnuk\Desktop\LFV Mainz\MaB\"/>
    </mc:Choice>
  </mc:AlternateContent>
  <bookViews>
    <workbookView xWindow="0" yWindow="0" windowWidth="28800" windowHeight="12300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Dateneingabe!$A$25:$E$25</definedName>
    <definedName name="_xlnm.Print_Area" localSheetId="1">Druckansicht!$A$1:$G$48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B6" i="3"/>
  <c r="A6" i="3"/>
  <c r="Q6" i="3" l="1"/>
  <c r="P3" i="3"/>
  <c r="I10" i="3"/>
  <c r="G10" i="3"/>
  <c r="I9" i="3"/>
  <c r="G9" i="3"/>
  <c r="I8" i="3"/>
  <c r="G8" i="3"/>
  <c r="I7" i="3"/>
  <c r="G7" i="3"/>
  <c r="I6" i="3"/>
  <c r="G6" i="3"/>
  <c r="G4" i="3"/>
  <c r="G3" i="3"/>
  <c r="R14" i="3" l="1"/>
  <c r="R13" i="3"/>
  <c r="R12" i="3"/>
  <c r="G5" i="3"/>
  <c r="A11" i="2"/>
  <c r="A12" i="4" s="1"/>
  <c r="A13" i="2"/>
  <c r="A15" i="4" s="1"/>
  <c r="J7" i="3"/>
  <c r="K7" i="3"/>
  <c r="J3" i="3"/>
  <c r="K3" i="3"/>
  <c r="K8" i="3" s="1"/>
  <c r="K6" i="3"/>
  <c r="J6" i="3"/>
  <c r="L6" i="3" s="1"/>
  <c r="K5" i="3"/>
  <c r="K4" i="3"/>
  <c r="J5" i="3"/>
  <c r="J4" i="3"/>
  <c r="E6" i="3"/>
  <c r="E5" i="3"/>
  <c r="E4" i="3"/>
  <c r="F10" i="2" s="1"/>
  <c r="E3" i="3"/>
  <c r="F9" i="2" s="1"/>
  <c r="D8" i="2"/>
  <c r="N6" i="3"/>
  <c r="E10" i="2"/>
  <c r="D10" i="2"/>
  <c r="B2" i="4"/>
  <c r="A1" i="2"/>
  <c r="A1" i="4" s="1"/>
  <c r="A16" i="2"/>
  <c r="A21" i="4" s="1"/>
  <c r="A18" i="2"/>
  <c r="A22" i="4" s="1"/>
  <c r="A2" i="2"/>
  <c r="A2" i="4" s="1"/>
  <c r="J1" i="4"/>
  <c r="D1" i="4"/>
  <c r="F2" i="2"/>
  <c r="J2" i="4" s="1"/>
  <c r="B6" i="4"/>
  <c r="G5" i="2" s="1"/>
  <c r="C5" i="2"/>
  <c r="G4" i="2"/>
  <c r="D4" i="2"/>
  <c r="A23" i="4"/>
  <c r="A17" i="4"/>
  <c r="A16" i="4"/>
  <c r="C17" i="2"/>
  <c r="D17" i="2" s="1"/>
  <c r="C15" i="2"/>
  <c r="D15" i="2"/>
  <c r="C13" i="2"/>
  <c r="D13" i="2" s="1"/>
  <c r="D11" i="2"/>
  <c r="D9" i="2"/>
  <c r="E9" i="2"/>
  <c r="Q7" i="3"/>
  <c r="F17" i="2"/>
  <c r="F15" i="2"/>
  <c r="F13" i="2"/>
  <c r="F11" i="2"/>
  <c r="L4" i="3" l="1"/>
  <c r="G15" i="2"/>
  <c r="D12" i="2"/>
  <c r="L5" i="3"/>
  <c r="J8" i="3"/>
  <c r="L3" i="3"/>
  <c r="L8" i="3" s="1"/>
  <c r="F8" i="2"/>
  <c r="G8" i="2"/>
  <c r="L7" i="3"/>
  <c r="G9" i="2"/>
  <c r="G10" i="2"/>
  <c r="G11" i="2"/>
  <c r="G13" i="2"/>
  <c r="G17" i="2"/>
  <c r="D23" i="4" l="1"/>
  <c r="D14" i="2"/>
  <c r="D16" i="2" s="1"/>
  <c r="D21" i="4" s="1"/>
  <c r="Q14" i="3"/>
  <c r="G12" i="2"/>
  <c r="D18" i="2" l="1"/>
  <c r="D22" i="4" s="1"/>
  <c r="Q12" i="3"/>
  <c r="G14" i="2"/>
  <c r="F12" i="2"/>
  <c r="E23" i="4" s="1"/>
  <c r="Q13" i="3" l="1"/>
  <c r="F14" i="2"/>
  <c r="G16" i="2"/>
  <c r="G18" i="2" l="1"/>
  <c r="F18" i="2" s="1"/>
  <c r="E22" i="4" s="1"/>
  <c r="F16" i="2"/>
  <c r="E21" i="4" s="1"/>
</calcChain>
</file>

<file path=xl/sharedStrings.xml><?xml version="1.0" encoding="utf-8"?>
<sst xmlns="http://schemas.openxmlformats.org/spreadsheetml/2006/main" count="103" uniqueCount="75">
  <si>
    <t>Angaben zum Flug</t>
  </si>
  <si>
    <t>VORNE</t>
  </si>
  <si>
    <t>HINTEN</t>
  </si>
  <si>
    <t>Route</t>
  </si>
  <si>
    <t>von</t>
  </si>
  <si>
    <t>EDFZ</t>
  </si>
  <si>
    <t>nach</t>
  </si>
  <si>
    <t>Flugdatum</t>
  </si>
  <si>
    <t>PIC</t>
  </si>
  <si>
    <t>Beladung</t>
  </si>
  <si>
    <t>[kg]</t>
  </si>
  <si>
    <t>Pilot &amp; Passagier vorne</t>
  </si>
  <si>
    <t>Rücksitzinsassen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</si>
  <si>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</si>
  <si>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</si>
  <si>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</si>
  <si>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</si>
  <si>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</si>
  <si>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</si>
  <si>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</si>
  <si>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</si>
  <si>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</si>
  <si>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</si>
  <si>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</si>
  <si>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</si>
  <si>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</si>
  <si>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</si>
  <si>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</si>
  <si>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</si>
  <si>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</si>
  <si>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</si>
  <si>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</si>
  <si>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Kein Ersatz für die im Flughandbuch beschriebene Berechnung. Alle Angaben ohne Gewähr.</t>
  </si>
  <si>
    <t>Flugzeugdaten</t>
  </si>
  <si>
    <t>Hebelarme ab Bezugsebene</t>
  </si>
  <si>
    <t>Betriebsgrenzen</t>
  </si>
  <si>
    <t>Massen-/Momentengrenzen</t>
  </si>
  <si>
    <t>Umrechnungstabelle</t>
  </si>
  <si>
    <t>Diagrammformatierung</t>
  </si>
  <si>
    <t>Registrierung</t>
  </si>
  <si>
    <t>D-ELHW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</si>
  <si>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</si>
  <si>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</si>
  <si>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</si>
  <si>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</si>
  <si>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</si>
  <si>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</si>
  <si>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</si>
  <si>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</si>
  <si>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Cirrus SR20 G6</t>
  </si>
  <si>
    <t>Vordersitzinsassen</t>
  </si>
  <si>
    <t>Höchstzulässige Startmasse</t>
  </si>
  <si>
    <t>kg/L</t>
  </si>
  <si>
    <t>untere Gewichtsgrenze</t>
  </si>
  <si>
    <t>Höchstzulässige Landemasse</t>
  </si>
  <si>
    <t>kg/lb</t>
  </si>
  <si>
    <t>x-Achse</t>
  </si>
  <si>
    <t>Gepäck</t>
  </si>
  <si>
    <t>Höchszulässige Masse im Gepäckraum</t>
  </si>
  <si>
    <t>m/in</t>
  </si>
  <si>
    <t>y-Achse</t>
  </si>
  <si>
    <t>Ausfliegbarer Treibstoff</t>
  </si>
  <si>
    <t>fwd CG limit</t>
  </si>
  <si>
    <t>kgm/inlb</t>
  </si>
  <si>
    <t>30 min reserve</t>
  </si>
  <si>
    <t>L/USG</t>
  </si>
  <si>
    <t>45 min reserve</t>
  </si>
  <si>
    <t>aft CG limit</t>
  </si>
  <si>
    <t>CG</t>
  </si>
  <si>
    <t>fwd limit</t>
  </si>
  <si>
    <t>aft limit</t>
  </si>
  <si>
    <t>Start</t>
  </si>
  <si>
    <t>Landung</t>
  </si>
  <si>
    <t>ohne Treibstoff</t>
  </si>
  <si>
    <t>Wägedaten vom 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</si>
</sst>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2" fontId="0" fillId="0" borderId="0" xfId="0" applyNumberFormat="1"/>
    <xf numFmtId="164" fontId="0" fillId="0" borderId="0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7" xfId="0" applyFill="1" applyBorder="1"/>
    <xf numFmtId="0" fontId="0" fillId="0" borderId="7" xfId="0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0" xfId="1" applyNumberFormat="1" applyFont="1"/>
    <xf numFmtId="0" fontId="0" fillId="0" borderId="0" xfId="0" applyBorder="1"/>
    <xf numFmtId="0" fontId="8" fillId="0" borderId="0" xfId="0" applyFont="1" applyBorder="1"/>
    <xf numFmtId="164" fontId="8" fillId="0" borderId="7" xfId="0" applyNumberFormat="1" applyFont="1" applyBorder="1"/>
    <xf numFmtId="165" fontId="8" fillId="0" borderId="13" xfId="0" applyNumberFormat="1" applyFont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8" fillId="0" borderId="10" xfId="0" applyFont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0" fillId="0" borderId="10" xfId="0" applyBorder="1"/>
    <xf numFmtId="165" fontId="10" fillId="0" borderId="1" xfId="0" applyNumberFormat="1" applyFont="1" applyBorder="1"/>
    <xf numFmtId="2" fontId="10" fillId="0" borderId="1" xfId="0" applyNumberFormat="1" applyFont="1" applyBorder="1"/>
    <xf numFmtId="2" fontId="10" fillId="3" borderId="1" xfId="0" applyNumberFormat="1" applyFont="1" applyFill="1" applyBorder="1" applyAlignment="1"/>
    <xf numFmtId="165" fontId="11" fillId="3" borderId="1" xfId="0" applyNumberFormat="1" applyFont="1" applyFill="1" applyBorder="1" applyAlignment="1"/>
    <xf numFmtId="0" fontId="12" fillId="0" borderId="0" xfId="0" applyFont="1"/>
    <xf numFmtId="0" fontId="12" fillId="0" borderId="13" xfId="0" applyFont="1" applyBorder="1" applyAlignment="1"/>
    <xf numFmtId="164" fontId="0" fillId="0" borderId="2" xfId="0" applyNumberFormat="1" applyBorder="1" applyAlignment="1"/>
    <xf numFmtId="166" fontId="0" fillId="0" borderId="0" xfId="0" applyNumberFormat="1"/>
    <xf numFmtId="0" fontId="6" fillId="0" borderId="12" xfId="0" applyFont="1" applyBorder="1" applyAlignment="1">
      <alignment vertical="center"/>
    </xf>
    <xf numFmtId="0" fontId="0" fillId="0" borderId="6" xfId="0" applyBorder="1"/>
    <xf numFmtId="165" fontId="0" fillId="0" borderId="5" xfId="0" applyNumberFormat="1" applyBorder="1"/>
    <xf numFmtId="1" fontId="0" fillId="0" borderId="6" xfId="0" applyNumberFormat="1" applyBorder="1"/>
    <xf numFmtId="1" fontId="0" fillId="0" borderId="0" xfId="0" applyNumberFormat="1"/>
    <xf numFmtId="0" fontId="5" fillId="4" borderId="9" xfId="0" applyFont="1" applyFill="1" applyBorder="1"/>
    <xf numFmtId="164" fontId="8" fillId="0" borderId="2" xfId="0" applyNumberFormat="1" applyFont="1" applyFill="1" applyBorder="1"/>
    <xf numFmtId="165" fontId="8" fillId="0" borderId="1" xfId="0" applyNumberFormat="1" applyFont="1" applyFill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  <xf numFmtId="165" fontId="0" fillId="0" borderId="11" xfId="0" applyNumberFormat="1" applyBorder="1"/>
    <xf numFmtId="0" fontId="8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0" fillId="0" borderId="0" xfId="0" applyBorder="1" applyAlignment="1">
      <alignment horizontal="center"/>
    </xf>
    <xf numFmtId="0" fontId="5" fillId="0" borderId="2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3" borderId="9" xfId="0" applyFont="1" applyFill="1" applyBorder="1" applyAlignment="1"/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3" borderId="1" xfId="0" applyFill="1" applyBorder="1" applyAlignment="1">
      <alignment horizontal="center"/>
    </xf>
    <xf numFmtId="164" fontId="2" fillId="3" borderId="1" xfId="0" applyNumberFormat="1" applyFont="1" applyFill="1" applyBorder="1" applyAlignment="1"/>
    <xf numFmtId="164" fontId="0" fillId="0" borderId="1" xfId="0" applyNumberFormat="1" applyBorder="1" applyAlignment="1"/>
    <xf numFmtId="0" fontId="0" fillId="0" borderId="8" xfId="0" applyBorder="1" applyAlignment="1"/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Flugzeugdaten!$K$3:$K$9</c:f>
              <c:numCache>
                <c:formatCode>0.000</c:formatCode>
                <c:ptCount val="7"/>
                <c:pt idx="0">
                  <c:v>3.5001200000000003</c:v>
                </c:pt>
                <c:pt idx="1">
                  <c:v>3.5331399999999995</c:v>
                </c:pt>
                <c:pt idx="2">
                  <c:v>3.5839399999999997</c:v>
                </c:pt>
                <c:pt idx="3">
                  <c:v>3.7617399999999996</c:v>
                </c:pt>
                <c:pt idx="4">
                  <c:v>3.7617399999999996</c:v>
                </c:pt>
                <c:pt idx="5">
                  <c:v>3.5001200000000003</c:v>
                </c:pt>
              </c:numCache>
            </c:numRef>
          </c:xVal>
          <c:yVal>
            <c:numRef>
              <c:f>Flugzeugdaten!$J$3:$J$9</c:f>
              <c:numCache>
                <c:formatCode>0</c:formatCode>
                <c:ptCount val="7"/>
                <c:pt idx="0">
                  <c:v>952.54319999999996</c:v>
                </c:pt>
                <c:pt idx="1">
                  <c:v>1224.6984</c:v>
                </c:pt>
                <c:pt idx="2">
                  <c:v>1428.8147999999999</c:v>
                </c:pt>
                <c:pt idx="3">
                  <c:v>1428.8147999999999</c:v>
                </c:pt>
                <c:pt idx="4">
                  <c:v>952.54319999999996</c:v>
                </c:pt>
                <c:pt idx="5">
                  <c:v>952.54319999999996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6-40F1-BFC6-1FEA3671DD79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6-40F1-BFC6-1FEA3671DD79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Flugzeugdaten!$I$6:$I$11</c:f>
              <c:numCache>
                <c:formatCode>0.000</c:formatCode>
                <c:ptCount val="6"/>
                <c:pt idx="0">
                  <c:v>3.5001200000000003</c:v>
                </c:pt>
                <c:pt idx="1">
                  <c:v>3.5331399999999995</c:v>
                </c:pt>
                <c:pt idx="2">
                  <c:v>3.5839399999999997</c:v>
                </c:pt>
                <c:pt idx="3">
                  <c:v>3.7617399999999996</c:v>
                </c:pt>
                <c:pt idx="4">
                  <c:v>3.7617399999999996</c:v>
                </c:pt>
              </c:numCache>
            </c:numRef>
          </c:xVal>
          <c:yVal>
            <c:numRef>
              <c:f>(Flugzeugdaten!$P$4,Flugzeugdaten!$P$4,Flugzeugdaten!$P$4,Flugzeugdaten!$P$4,Flugzeugdaten!$P$4,Flugzeugdaten!$P$4)</c:f>
              <c:numCache>
                <c:formatCode>0</c:formatCode>
                <c:ptCount val="6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950</c:v>
                </c:pt>
                <c:pt idx="4">
                  <c:v>950</c:v>
                </c:pt>
                <c:pt idx="5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6-40F1-BFC6-1FEA3671DD79}"/>
            </c:ext>
          </c:extLst>
        </c:ser>
        <c:ser>
          <c:idx val="2"/>
          <c:order val="2"/>
          <c:tx>
            <c:v>y-Achse</c:v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2-49D8-BE6E-C50E0853B37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(Flugzeugdaten!$R$5,Flugzeugdaten!$R$5,Flugzeugdaten!$R$5,Flugzeugdaten!$R$5,Flugzeugdaten!$R$5)</c:f>
              <c:numCache>
                <c:formatCode>0.000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xVal>
          <c:yVal>
            <c:numRef>
              <c:f>(Flugzeugdaten!$J$4,Flugzeugdaten!$J$6,Flugzeugdaten!$J$7)</c:f>
              <c:numCache>
                <c:formatCode>0</c:formatCode>
                <c:ptCount val="3"/>
                <c:pt idx="0">
                  <c:v>1224.6984</c:v>
                </c:pt>
                <c:pt idx="1">
                  <c:v>1428.8147999999999</c:v>
                </c:pt>
                <c:pt idx="2">
                  <c:v>952.54319999999996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6-40F1-BFC6-1FEA3671DD79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2273614-048E-4819-9929-BCDDB4AC513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836-40F1-BFC6-1FEA3671DD7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13C60CB-0CC4-42E8-94F9-BE9FA050040E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836-40F1-BFC6-1FEA3671DD7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FEA4066-CCCB-4F2A-86F5-D8D98AAD6C3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836-40F1-BFC6-1FEA3671DD79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3.5964495511932157</c:v>
                </c:pt>
                <c:pt idx="1">
                  <c:v>3.5964495511932157</c:v>
                </c:pt>
                <c:pt idx="2">
                  <c:v>3.5977766319772946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954.78948799999989</c:v>
                </c:pt>
                <c:pt idx="1">
                  <c:v>954.78948799999989</c:v>
                </c:pt>
                <c:pt idx="2">
                  <c:v>958.89348799999993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836-40F1-BFC6-1FEA3671D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3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39556986411181361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9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523287558697784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Flugzeugdaten!$K$3:$K$9</c:f>
              <c:numCache>
                <c:formatCode>0.000</c:formatCode>
                <c:ptCount val="7"/>
                <c:pt idx="0">
                  <c:v>3.5001200000000003</c:v>
                </c:pt>
                <c:pt idx="1">
                  <c:v>3.5331399999999995</c:v>
                </c:pt>
                <c:pt idx="2">
                  <c:v>3.5839399999999997</c:v>
                </c:pt>
                <c:pt idx="3">
                  <c:v>3.7617399999999996</c:v>
                </c:pt>
                <c:pt idx="4">
                  <c:v>3.7617399999999996</c:v>
                </c:pt>
                <c:pt idx="5">
                  <c:v>3.5001200000000003</c:v>
                </c:pt>
              </c:numCache>
            </c:numRef>
          </c:xVal>
          <c:yVal>
            <c:numRef>
              <c:f>Flugzeugdaten!$J$3:$J$9</c:f>
              <c:numCache>
                <c:formatCode>0</c:formatCode>
                <c:ptCount val="7"/>
                <c:pt idx="0">
                  <c:v>952.54319999999996</c:v>
                </c:pt>
                <c:pt idx="1">
                  <c:v>1224.6984</c:v>
                </c:pt>
                <c:pt idx="2">
                  <c:v>1428.8147999999999</c:v>
                </c:pt>
                <c:pt idx="3">
                  <c:v>1428.8147999999999</c:v>
                </c:pt>
                <c:pt idx="4">
                  <c:v>952.54319999999996</c:v>
                </c:pt>
                <c:pt idx="5">
                  <c:v>952.54319999999996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D-4B46-A266-4FAE5939CAC9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Flugzeugdaten!$I$6:$I$11</c:f>
              <c:numCache>
                <c:formatCode>0.000</c:formatCode>
                <c:ptCount val="6"/>
                <c:pt idx="0">
                  <c:v>3.5001200000000003</c:v>
                </c:pt>
                <c:pt idx="1">
                  <c:v>3.5331399999999995</c:v>
                </c:pt>
                <c:pt idx="2">
                  <c:v>3.5839399999999997</c:v>
                </c:pt>
                <c:pt idx="3">
                  <c:v>3.7617399999999996</c:v>
                </c:pt>
                <c:pt idx="4">
                  <c:v>3.7617399999999996</c:v>
                </c:pt>
              </c:numCache>
            </c:numRef>
          </c:xVal>
          <c:yVal>
            <c:numRef>
              <c:f>(Flugzeugdaten!$P$4,Flugzeugdaten!$P$4,Flugzeugdaten!$P$4,Flugzeugdaten!$P$4,Flugzeugdaten!$P$4,Flugzeugdaten!$P$4)</c:f>
              <c:numCache>
                <c:formatCode>0</c:formatCode>
                <c:ptCount val="6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950</c:v>
                </c:pt>
                <c:pt idx="4">
                  <c:v>950</c:v>
                </c:pt>
                <c:pt idx="5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0-41C4-BF35-FEA9AC1FF3FF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(Flugzeugdaten!$R$5,Flugzeugdaten!$R$5,Flugzeugdaten!$R$5)</c:f>
              <c:numCache>
                <c:formatCode>0.000</c:formatCode>
                <c:ptCount val="3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</c:numCache>
            </c:numRef>
          </c:xVal>
          <c:yVal>
            <c:numRef>
              <c:f>(Flugzeugdaten!$J$4,Flugzeugdaten!$J$6,Flugzeugdaten!$J$7)</c:f>
              <c:numCache>
                <c:formatCode>0</c:formatCode>
                <c:ptCount val="3"/>
                <c:pt idx="0">
                  <c:v>1224.6984</c:v>
                </c:pt>
                <c:pt idx="1">
                  <c:v>1428.8147999999999</c:v>
                </c:pt>
                <c:pt idx="2">
                  <c:v>952.54319999999996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5B5EF06-B6B0-4F62-99C6-1C0C8B6C20C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FA4C0B-1614-487B-BD33-11CF8E76C6A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6D75AEE-2150-4D59-B19D-67DE52100E6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3.5964495511932157</c:v>
                </c:pt>
                <c:pt idx="1">
                  <c:v>3.5964495511932157</c:v>
                </c:pt>
                <c:pt idx="2">
                  <c:v>3.5977766319772946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954.78948799999989</c:v>
                </c:pt>
                <c:pt idx="1">
                  <c:v>954.78948799999989</c:v>
                </c:pt>
                <c:pt idx="2">
                  <c:v>958.89348799999993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3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39556986411181361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9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523287558697784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0</xdr:rowOff>
    </xdr:from>
    <xdr:to>
      <xdr:col>12</xdr:col>
      <xdr:colOff>742950</xdr:colOff>
      <xdr:row>25</xdr:row>
      <xdr:rowOff>88656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6594</xdr:rowOff>
    </xdr:from>
    <xdr:to>
      <xdr:col>6</xdr:col>
      <xdr:colOff>904875</xdr:colOff>
      <xdr:row>47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1"/>
  </sheetPr>
  <dimension ref="A1:N25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5.28515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73" t="str">
        <f>Druckansicht!$A$1</f>
        <v>D-ELHW</v>
      </c>
      <c r="B1" s="73"/>
      <c r="C1" s="73"/>
      <c r="D1" s="74" t="str">
        <f>Druckansicht!$B$1</f>
        <v>Masse &amp; Schwerpunkt Berechnung</v>
      </c>
      <c r="E1" s="74"/>
      <c r="F1" s="74"/>
      <c r="G1" s="74"/>
      <c r="H1" s="74"/>
      <c r="I1" s="74"/>
      <c r="J1" s="71" t="str">
        <f>Druckansicht!$F$1</f>
        <v>Luftfahrtverein Mainz e.V.</v>
      </c>
      <c r="K1" s="71"/>
      <c r="L1" s="71"/>
      <c r="M1" s="62"/>
      <c r="N1" s="62"/>
    </row>
    <row r="2" spans="1:14" ht="18.75" customHeight="1" x14ac:dyDescent="0.3">
      <c r="A2" s="47" t="str">
        <f>Druckansicht!$A$2</f>
        <v>Cirrus SR20 G6</v>
      </c>
      <c r="B2" s="72" t="str">
        <f>Druckansicht!$A$48</f>
        <v>Kein Ersatz für die im Flughandbuch beschriebene Berechnung. Alle Angaben ohne Gewähr.</v>
      </c>
      <c r="C2" s="72"/>
      <c r="D2" s="72"/>
      <c r="E2" s="72"/>
      <c r="F2" s="72"/>
      <c r="G2" s="72"/>
      <c r="H2" s="72"/>
      <c r="I2" s="72"/>
      <c r="J2" s="71" t="str">
        <f>Druckansicht!$F$2</f>
        <v>Wägedaten vom 07.01.2021</v>
      </c>
      <c r="K2" s="71"/>
      <c r="L2" s="71"/>
      <c r="M2" s="62"/>
      <c r="N2" s="62"/>
    </row>
    <row r="3" spans="1:14" x14ac:dyDescent="0.25">
      <c r="A3" s="12"/>
      <c r="B3" s="12"/>
      <c r="C3" s="12"/>
      <c r="D3" s="12"/>
      <c r="E3" s="12"/>
    </row>
    <row r="4" spans="1:14" ht="18.75" x14ac:dyDescent="0.3">
      <c r="A4" s="69" t="s">
        <v>0</v>
      </c>
      <c r="B4" s="70"/>
      <c r="C4" s="70"/>
      <c r="D4" s="70"/>
      <c r="E4" s="75"/>
      <c r="H4" t="s">
        <v>1</v>
      </c>
      <c r="L4" t="s">
        <v>2</v>
      </c>
    </row>
    <row r="5" spans="1:14" ht="18.75" x14ac:dyDescent="0.3">
      <c r="A5" s="33" t="s">
        <v>3</v>
      </c>
      <c r="B5" s="24" t="s">
        <v>4</v>
      </c>
      <c r="C5" s="38" t="s">
        <v>5</v>
      </c>
      <c r="D5" s="39" t="s">
        <v>6</v>
      </c>
      <c r="E5" s="27" t="s">
        <v>5</v>
      </c>
      <c r="F5" s="11"/>
    </row>
    <row r="6" spans="1:14" ht="18.75" x14ac:dyDescent="0.3">
      <c r="A6" s="34" t="s">
        <v>7</v>
      </c>
      <c r="B6" s="76">
        <f ca="1">TODAY()</f>
        <v>44379</v>
      </c>
      <c r="C6" s="76"/>
      <c r="D6" s="76"/>
      <c r="E6" s="77"/>
      <c r="F6" s="11"/>
    </row>
    <row r="7" spans="1:14" ht="18.75" x14ac:dyDescent="0.3">
      <c r="A7" s="35" t="s">
        <v>8</v>
      </c>
      <c r="B7" s="67"/>
      <c r="C7" s="67"/>
      <c r="D7" s="67"/>
      <c r="E7" s="68"/>
      <c r="F7" s="11"/>
    </row>
    <row r="8" spans="1:14" x14ac:dyDescent="0.25">
      <c r="A8" s="12"/>
      <c r="B8" s="42"/>
    </row>
    <row r="9" spans="1:14" ht="18.75" x14ac:dyDescent="0.3">
      <c r="A9" s="69" t="s">
        <v>9</v>
      </c>
      <c r="B9" s="70"/>
      <c r="C9" s="70"/>
      <c r="D9" s="70"/>
      <c r="E9" s="36" t="s">
        <v>10</v>
      </c>
    </row>
    <row r="10" spans="1:14" ht="18.75" x14ac:dyDescent="0.3">
      <c r="A10" s="78" t="s">
        <v>11</v>
      </c>
      <c r="B10" s="79"/>
      <c r="C10" s="80"/>
      <c r="D10" s="23"/>
      <c r="E10" s="23"/>
    </row>
    <row r="11" spans="1:14" ht="18.75" x14ac:dyDescent="0.3">
      <c r="A11" s="81" t="s">
        <v>12</v>
      </c>
      <c r="B11" s="82"/>
      <c r="C11" s="82"/>
      <c r="D11" s="23"/>
      <c r="E11" s="23"/>
    </row>
    <row r="12" spans="1:14" ht="18.75" x14ac:dyDescent="0.3">
      <c r="A12" s="78" t="str">
        <f>Druckansicht!A11</f>
        <v>Gepäck (max. 59 kg)</v>
      </c>
      <c r="B12" s="79"/>
      <c r="C12" s="79"/>
      <c r="D12" s="56"/>
      <c r="E12" s="23"/>
    </row>
    <row r="13" spans="1:14" ht="18.75" x14ac:dyDescent="0.3">
      <c r="A13" s="13"/>
      <c r="B13" s="13"/>
      <c r="C13" s="37"/>
      <c r="D13" s="13"/>
      <c r="E13" s="13"/>
    </row>
    <row r="14" spans="1:14" ht="18.75" x14ac:dyDescent="0.3">
      <c r="A14" s="69" t="s">
        <v>13</v>
      </c>
      <c r="B14" s="70"/>
      <c r="C14" s="70"/>
      <c r="D14" s="70"/>
      <c r="E14" s="36" t="s">
        <v>14</v>
      </c>
    </row>
    <row r="15" spans="1:14" ht="18.75" x14ac:dyDescent="0.3">
      <c r="A15" s="88" t="str">
        <f>Druckansicht!A13</f>
        <v>Ausfliegbarer Treibstoff (max. 212 L)</v>
      </c>
      <c r="B15" s="89"/>
      <c r="C15" s="89"/>
      <c r="D15" s="90"/>
      <c r="E15" s="23"/>
    </row>
    <row r="16" spans="1:14" ht="18.75" x14ac:dyDescent="0.3">
      <c r="A16" s="81" t="str">
        <f>Druckansicht!A15</f>
        <v>Treibstoff für Anlassen &amp; Rollen</v>
      </c>
      <c r="B16" s="82"/>
      <c r="C16" s="82"/>
      <c r="D16" s="87"/>
      <c r="E16" s="23">
        <v>5.7</v>
      </c>
    </row>
    <row r="17" spans="1:5" ht="18.75" x14ac:dyDescent="0.3">
      <c r="A17" s="91" t="str">
        <f>Druckansicht!A17</f>
        <v>Treibstoff für Flugstrecke</v>
      </c>
      <c r="B17" s="92"/>
      <c r="C17" s="92"/>
      <c r="D17" s="93"/>
      <c r="E17" s="23"/>
    </row>
    <row r="19" spans="1:5" ht="18.75" x14ac:dyDescent="0.3">
      <c r="A19" s="69" t="s">
        <v>15</v>
      </c>
      <c r="B19" s="70"/>
      <c r="C19" s="70"/>
      <c r="D19" s="70"/>
      <c r="E19" s="75"/>
    </row>
    <row r="20" spans="1:5" ht="18.75" x14ac:dyDescent="0.3">
      <c r="A20" s="94"/>
      <c r="B20" s="95"/>
      <c r="C20" s="96"/>
      <c r="D20" s="40" t="s">
        <v>16</v>
      </c>
      <c r="E20" s="41" t="s">
        <v>17</v>
      </c>
    </row>
    <row r="21" spans="1:5" ht="18.75" x14ac:dyDescent="0.3">
      <c r="A21" s="84" t="str">
        <f>Druckansicht!A16</f>
        <v>Startmasse (max. 1429 kg)</v>
      </c>
      <c r="B21" s="85"/>
      <c r="C21" s="86"/>
      <c r="D21" s="57">
        <f>Druckansicht!D16</f>
        <v>954.78948799999989</v>
      </c>
      <c r="E21" s="58">
        <f>Druckansicht!F16</f>
        <v>3.5964495511932157</v>
      </c>
    </row>
    <row r="22" spans="1:5" ht="18.75" x14ac:dyDescent="0.3">
      <c r="A22" s="81" t="str">
        <f>Druckansicht!A18</f>
        <v>Landemasse (max. 1429 kg)</v>
      </c>
      <c r="B22" s="82"/>
      <c r="C22" s="87"/>
      <c r="D22" s="59">
        <f>Druckansicht!D18</f>
        <v>954.78948799999989</v>
      </c>
      <c r="E22" s="60">
        <f>Druckansicht!F18</f>
        <v>3.5964495511932157</v>
      </c>
    </row>
    <row r="23" spans="1:5" ht="18.75" x14ac:dyDescent="0.3">
      <c r="A23" s="88" t="str">
        <f>Druckansicht!A12</f>
        <v>Flugmasse ohne Treibstoff</v>
      </c>
      <c r="B23" s="89"/>
      <c r="C23" s="90"/>
      <c r="D23" s="14">
        <f>Druckansicht!D12</f>
        <v>958.89348799999993</v>
      </c>
      <c r="E23" s="15">
        <f>Druckansicht!F12</f>
        <v>3.5977766319772946</v>
      </c>
    </row>
    <row r="25" spans="1:5" x14ac:dyDescent="0.25">
      <c r="A25" s="83" t="s">
        <v>18</v>
      </c>
      <c r="B25" s="83"/>
      <c r="C25" s="83"/>
      <c r="D25" s="83"/>
      <c r="E25" s="83"/>
    </row>
  </sheetData>
  <sheetProtection sheet="1" objects="1" scenarios="1" selectLockedCells="1"/>
  <mergeCells count="22">
    <mergeCell ref="A25:E25"/>
    <mergeCell ref="A21:C21"/>
    <mergeCell ref="A22:C22"/>
    <mergeCell ref="A15:D15"/>
    <mergeCell ref="A16:D16"/>
    <mergeCell ref="A17:D17"/>
    <mergeCell ref="A19:E19"/>
    <mergeCell ref="A23:C23"/>
    <mergeCell ref="A20:C20"/>
    <mergeCell ref="B7:E7"/>
    <mergeCell ref="A14:D14"/>
    <mergeCell ref="J2:L2"/>
    <mergeCell ref="J1:L1"/>
    <mergeCell ref="B2:I2"/>
    <mergeCell ref="A1:C1"/>
    <mergeCell ref="D1:I1"/>
    <mergeCell ref="A4:E4"/>
    <mergeCell ref="B6:E6"/>
    <mergeCell ref="A9:D9"/>
    <mergeCell ref="A10:C10"/>
    <mergeCell ref="A11:C11"/>
    <mergeCell ref="A12:C1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4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3" id="{7ACBEE78-5990-428B-AC1A-D5AAA1C673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2" id="{DE386E4B-92EC-4898-8908-6CEF7C0CB0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39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40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</xm:sqref>
        </x14:conditionalFormatting>
        <x14:conditionalFormatting xmlns:xm="http://schemas.microsoft.com/office/excel/2006/main">
          <x14:cfRule type="iconSet" priority="59" id="{33E0FA0B-349B-4538-8FD5-C61702FCE636}">
            <x14:iconSet custom="1">
              <x14:cfvo type="percent">
                <xm:f>0</xm:f>
              </x14:cfvo>
              <x14:cfvo type="formula">
                <xm:f>$E$15-$E$16-Flugzeugdaten!$Q$7</xm:f>
              </x14:cfvo>
              <x14:cfvo type="formula">
                <xm:f>$E$15-$E$16-Flugzeugdaten!$Q$6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1" id="{2BAE0335-4A9D-4E5A-BA1A-0DB85517D248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D22:D23</xm:sqref>
        </x14:conditionalFormatting>
        <x14:conditionalFormatting xmlns:xm="http://schemas.microsoft.com/office/excel/2006/main">
          <x14:cfRule type="iconSet" priority="63" id="{A6F58696-C2C8-4F88-9092-9F161B4791A2}">
            <x14:iconSet custom="1">
              <x14:cfvo type="percent">
                <xm:f>0</xm:f>
              </x14:cfvo>
              <x14:cfvo type="formula">
                <xm:f>Flugzeugdaten!$Q$14</xm:f>
              </x14:cfvo>
              <x14:cfvo type="formula" gte="0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64" id="{EBCD120E-9CB9-48B8-BDE9-70749AC5640E}">
            <x14:iconSet custom="1">
              <x14:cfvo type="percent">
                <xm:f>0</xm:f>
              </x14:cfvo>
              <x14:cfvo type="formula">
                <xm:f>Flugzeugdaten!$Q$12</xm:f>
              </x14:cfvo>
              <x14:cfvo type="formula" gte="0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</xm:sqref>
        </x14:conditionalFormatting>
        <x14:conditionalFormatting xmlns:xm="http://schemas.microsoft.com/office/excel/2006/main">
          <x14:cfRule type="iconSet" priority="65" id="{F8A27300-C290-47AA-9EEA-71875E624814}">
            <x14:iconSet custom="1">
              <x14:cfvo type="percent">
                <xm:f>0</xm:f>
              </x14:cfvo>
              <x14:cfvo type="formula">
                <xm:f>Flugzeugdaten!$Q$13</xm:f>
              </x14:cfvo>
              <x14:cfvo type="formula" gte="0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69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Flugzeugdaten!$H$11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/>
  </sheetPr>
  <dimension ref="A1:I48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6.25" x14ac:dyDescent="0.3">
      <c r="A1" s="51" t="str">
        <f>Flugzeugdaten!$C$2</f>
        <v>D-ELHW</v>
      </c>
      <c r="B1" s="112" t="s">
        <v>19</v>
      </c>
      <c r="C1" s="112"/>
      <c r="D1" s="112"/>
      <c r="E1" s="112"/>
      <c r="F1" s="113" t="s">
        <v>20</v>
      </c>
      <c r="G1" s="113"/>
      <c r="H1" s="62"/>
      <c r="I1" s="62"/>
    </row>
    <row r="2" spans="1:9" ht="18.75" x14ac:dyDescent="0.3">
      <c r="A2" s="48" t="str">
        <f>Flugzeugdaten!$C$3</f>
        <v>Cirrus SR20 G6</v>
      </c>
      <c r="C2" s="30"/>
      <c r="F2" s="114" t="str">
        <f>Flugzeugdaten!$A$4</f>
        <v>Wägedaten vom 07.01.2021</v>
      </c>
      <c r="G2" s="114"/>
      <c r="H2" s="62"/>
      <c r="I2" s="62"/>
    </row>
    <row r="4" spans="1:9" x14ac:dyDescent="0.25">
      <c r="A4" s="103" t="s">
        <v>0</v>
      </c>
      <c r="B4" s="104"/>
      <c r="C4" s="64" t="s">
        <v>4</v>
      </c>
      <c r="D4" s="107" t="str">
        <f>Dateneingabe!C5</f>
        <v>EDFZ</v>
      </c>
      <c r="E4" s="107"/>
      <c r="F4" s="63" t="s">
        <v>6</v>
      </c>
      <c r="G4" s="65" t="str">
        <f>Dateneingabe!E5</f>
        <v>EDFZ</v>
      </c>
    </row>
    <row r="5" spans="1:9" x14ac:dyDescent="0.25">
      <c r="A5" s="108" t="s">
        <v>8</v>
      </c>
      <c r="B5" s="109"/>
      <c r="C5" s="108">
        <f>Dateneingabe!B7</f>
        <v>0</v>
      </c>
      <c r="D5" s="107"/>
      <c r="E5" s="109"/>
      <c r="F5" s="25" t="s">
        <v>7</v>
      </c>
      <c r="G5" s="26">
        <f ca="1">Dateneingabe!B6</f>
        <v>44379</v>
      </c>
    </row>
    <row r="6" spans="1:9" x14ac:dyDescent="0.25">
      <c r="A6" s="102"/>
      <c r="B6" s="102"/>
    </row>
    <row r="7" spans="1:9" x14ac:dyDescent="0.25">
      <c r="A7" s="103" t="s">
        <v>21</v>
      </c>
      <c r="B7" s="104"/>
      <c r="C7" s="66" t="s">
        <v>22</v>
      </c>
      <c r="D7" s="110" t="s">
        <v>16</v>
      </c>
      <c r="E7" s="110"/>
      <c r="F7" s="66" t="s">
        <v>23</v>
      </c>
      <c r="G7" s="66" t="s">
        <v>24</v>
      </c>
    </row>
    <row r="8" spans="1:9" x14ac:dyDescent="0.25">
      <c r="A8" s="105" t="s">
        <v>25</v>
      </c>
      <c r="B8" s="106"/>
      <c r="C8" s="2"/>
      <c r="D8" s="101">
        <f>Flugzeugdaten!$A$6</f>
        <v>958.89348799999993</v>
      </c>
      <c r="E8" s="101"/>
      <c r="F8" s="43">
        <f>Flugzeugdaten!$B$6</f>
        <v>3.5977766319772946</v>
      </c>
      <c r="G8" s="44">
        <f>Flugzeugdaten!$C$6</f>
        <v>3449.8845836815999</v>
      </c>
    </row>
    <row r="9" spans="1:9" x14ac:dyDescent="0.25">
      <c r="A9" s="97" t="s">
        <v>11</v>
      </c>
      <c r="B9" s="98"/>
      <c r="C9" s="2"/>
      <c r="D9" s="49">
        <f>Dateneingabe!$D$10</f>
        <v>0</v>
      </c>
      <c r="E9" s="49">
        <f>Dateneingabe!$E$10</f>
        <v>0</v>
      </c>
      <c r="F9" s="43">
        <f>Flugzeugdaten!$E$3</f>
        <v>3.6448999999999998</v>
      </c>
      <c r="G9" s="44">
        <f>(D9+E9)*F9</f>
        <v>0</v>
      </c>
    </row>
    <row r="10" spans="1:9" x14ac:dyDescent="0.25">
      <c r="A10" s="97" t="s">
        <v>12</v>
      </c>
      <c r="B10" s="98"/>
      <c r="C10" s="28"/>
      <c r="D10" s="49">
        <f>Dateneingabe!$D$11</f>
        <v>0</v>
      </c>
      <c r="E10" s="49">
        <f>Dateneingabe!$E$11</f>
        <v>0</v>
      </c>
      <c r="F10" s="43">
        <f>Flugzeugdaten!$E$4</f>
        <v>4.5720000000000001</v>
      </c>
      <c r="G10" s="44">
        <f>(D10+E10)*F10</f>
        <v>0</v>
      </c>
    </row>
    <row r="11" spans="1:9" x14ac:dyDescent="0.25">
      <c r="A11" s="97" t="str">
        <f>"Gepäck (max. "&amp;TEXT(Flugzeugdaten!$G$5,"0")&amp;" kg)"</f>
        <v>Gepäck (max. 59 kg)</v>
      </c>
      <c r="B11" s="98"/>
      <c r="C11" s="28"/>
      <c r="D11" s="101">
        <f>Dateneingabe!$E$12</f>
        <v>0</v>
      </c>
      <c r="E11" s="101"/>
      <c r="F11" s="43">
        <f>Flugzeugdaten!$E$5</f>
        <v>5.2831999999999999</v>
      </c>
      <c r="G11" s="44">
        <f>D11*F11</f>
        <v>0</v>
      </c>
    </row>
    <row r="12" spans="1:9" x14ac:dyDescent="0.25">
      <c r="A12" s="119" t="s">
        <v>26</v>
      </c>
      <c r="B12" s="120"/>
      <c r="C12" s="29"/>
      <c r="D12" s="100">
        <f>SUM(D8:E11)</f>
        <v>958.89348799999993</v>
      </c>
      <c r="E12" s="100"/>
      <c r="F12" s="46">
        <f>G12/D12</f>
        <v>3.5977766319772946</v>
      </c>
      <c r="G12" s="45">
        <f>SUM(G8:G11)</f>
        <v>3449.8845836815999</v>
      </c>
    </row>
    <row r="13" spans="1:9" x14ac:dyDescent="0.25">
      <c r="A13" s="97" t="str">
        <f>"Ausfliegbarer Treibstoff (max. "&amp;TEXT(Flugzeugdaten!$H$11,"0")&amp;" L)"</f>
        <v>Ausfliegbarer Treibstoff (max. 212 L)</v>
      </c>
      <c r="B13" s="98"/>
      <c r="C13" s="3">
        <f>Dateneingabe!$E$15</f>
        <v>0</v>
      </c>
      <c r="D13" s="101">
        <f>C13*Flugzeugdaten!$N$3</f>
        <v>0</v>
      </c>
      <c r="E13" s="101"/>
      <c r="F13" s="43">
        <f>Flugzeugdaten!$E$6</f>
        <v>3.90652</v>
      </c>
      <c r="G13" s="44">
        <f>D13*F13</f>
        <v>0</v>
      </c>
    </row>
    <row r="14" spans="1:9" x14ac:dyDescent="0.25">
      <c r="A14" s="115" t="s">
        <v>27</v>
      </c>
      <c r="B14" s="116"/>
      <c r="C14" s="3"/>
      <c r="D14" s="100">
        <f>SUM(D12:D13)</f>
        <v>958.89348799999993</v>
      </c>
      <c r="E14" s="100"/>
      <c r="F14" s="46">
        <f>G14/D14</f>
        <v>3.5977766319772946</v>
      </c>
      <c r="G14" s="45">
        <f>SUM(G12:G13)</f>
        <v>3449.8845836815999</v>
      </c>
    </row>
    <row r="15" spans="1:9" x14ac:dyDescent="0.25">
      <c r="A15" s="97" t="s">
        <v>28</v>
      </c>
      <c r="B15" s="98"/>
      <c r="C15" s="3">
        <f>Dateneingabe!$E$16</f>
        <v>5.7</v>
      </c>
      <c r="D15" s="101">
        <f>-C15*Flugzeugdaten!$N$3</f>
        <v>-4.1040000000000001</v>
      </c>
      <c r="E15" s="101"/>
      <c r="F15" s="43">
        <f>Flugzeugdaten!$E$6</f>
        <v>3.90652</v>
      </c>
      <c r="G15" s="44">
        <f>D15*F15</f>
        <v>-16.032358080000002</v>
      </c>
    </row>
    <row r="16" spans="1:9" x14ac:dyDescent="0.25">
      <c r="A16" s="115" t="str">
        <f>"Startmasse (max. "&amp;TEXT(Flugzeugdaten!$G$3, "0")&amp;" kg)"</f>
        <v>Startmasse (max. 1429 kg)</v>
      </c>
      <c r="B16" s="116"/>
      <c r="C16" s="3"/>
      <c r="D16" s="100">
        <f>SUM(D14:D15)</f>
        <v>954.78948799999989</v>
      </c>
      <c r="E16" s="100"/>
      <c r="F16" s="46">
        <f>G16/D16</f>
        <v>3.5964495511932157</v>
      </c>
      <c r="G16" s="45">
        <f>SUM(G14:G15)</f>
        <v>3433.8522256015999</v>
      </c>
    </row>
    <row r="17" spans="1:7" x14ac:dyDescent="0.25">
      <c r="A17" s="117" t="s">
        <v>29</v>
      </c>
      <c r="B17" s="118"/>
      <c r="C17" s="3">
        <f>Dateneingabe!$E$17</f>
        <v>0</v>
      </c>
      <c r="D17" s="101">
        <f>-C17*Flugzeugdaten!$N$3</f>
        <v>0</v>
      </c>
      <c r="E17" s="101"/>
      <c r="F17" s="43">
        <f>Flugzeugdaten!$E$6</f>
        <v>3.90652</v>
      </c>
      <c r="G17" s="44">
        <f>D17*F17</f>
        <v>0</v>
      </c>
    </row>
    <row r="18" spans="1:7" x14ac:dyDescent="0.25">
      <c r="A18" s="115" t="str">
        <f>"Landemasse (max. "&amp;TEXT(Flugzeugdaten!$G$4, "0")&amp;" kg)"</f>
        <v>Landemasse (max. 1429 kg)</v>
      </c>
      <c r="B18" s="116"/>
      <c r="C18" s="3"/>
      <c r="D18" s="100">
        <f>SUM(D16:D17)</f>
        <v>954.78948799999989</v>
      </c>
      <c r="E18" s="100"/>
      <c r="F18" s="46">
        <f>G18/D18</f>
        <v>3.5964495511932157</v>
      </c>
      <c r="G18" s="45">
        <f>SUM(G16:G17)</f>
        <v>3433.8522256015999</v>
      </c>
    </row>
    <row r="19" spans="1:7" x14ac:dyDescent="0.25">
      <c r="A19" s="102"/>
      <c r="B19" s="102"/>
    </row>
    <row r="20" spans="1:7" x14ac:dyDescent="0.25">
      <c r="A20" s="103" t="s">
        <v>30</v>
      </c>
      <c r="B20" s="104"/>
      <c r="C20" s="99" t="s">
        <v>31</v>
      </c>
      <c r="D20" s="99"/>
      <c r="E20" s="99"/>
      <c r="F20" s="99"/>
      <c r="G20" s="99"/>
    </row>
    <row r="22" spans="1:7" x14ac:dyDescent="0.25">
      <c r="B22" s="31" t="s">
        <v>1</v>
      </c>
      <c r="G22" t="s">
        <v>2</v>
      </c>
    </row>
    <row r="48" spans="1:7" x14ac:dyDescent="0.25">
      <c r="A48" s="111" t="s">
        <v>32</v>
      </c>
      <c r="B48" s="111"/>
      <c r="C48" s="111"/>
      <c r="D48" s="111"/>
      <c r="E48" s="111"/>
      <c r="F48" s="111"/>
      <c r="G48" s="111"/>
    </row>
  </sheetData>
  <sheetProtection sheet="1" objects="1" scenarios="1"/>
  <mergeCells count="34">
    <mergeCell ref="A48:G48"/>
    <mergeCell ref="B1:E1"/>
    <mergeCell ref="F1:G1"/>
    <mergeCell ref="F2:G2"/>
    <mergeCell ref="A20:B20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D4:E4"/>
    <mergeCell ref="C5:E5"/>
    <mergeCell ref="D7:E7"/>
    <mergeCell ref="D8:E8"/>
    <mergeCell ref="A9:B9"/>
    <mergeCell ref="A10:B10"/>
    <mergeCell ref="C20:G20"/>
    <mergeCell ref="D14:E14"/>
    <mergeCell ref="D15:E15"/>
    <mergeCell ref="D16:E16"/>
    <mergeCell ref="D17:E17"/>
    <mergeCell ref="D18:E18"/>
    <mergeCell ref="D11:E11"/>
    <mergeCell ref="D12:E12"/>
    <mergeCell ref="D13:E13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 G14:G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  <x14:conditionalFormatting xmlns:xm="http://schemas.microsoft.com/office/excel/2006/main">
          <x14:cfRule type="iconSet" priority="40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41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D16</xm:sqref>
        </x14:conditionalFormatting>
        <x14:conditionalFormatting xmlns:xm="http://schemas.microsoft.com/office/excel/2006/main">
          <x14:cfRule type="iconSet" priority="43" id="{18F2B3B5-A350-4078-99E9-E63299760057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D18 D12</xm:sqref>
        </x14:conditionalFormatting>
        <x14:conditionalFormatting xmlns:xm="http://schemas.microsoft.com/office/excel/2006/main">
          <x14:cfRule type="iconSet" priority="62" id="{BFD899BE-4866-48A0-84A7-37A0264A25B7}">
            <x14:iconSet custom="1">
              <x14:cfvo type="percent">
                <xm:f>0</xm:f>
              </x14:cfvo>
              <x14:cfvo type="formula" gte="0">
                <xm:f>$C$13-$C$15-Flugzeugdaten!$Q$7</xm:f>
              </x14:cfvo>
              <x14:cfvo type="formula">
                <xm:f>$C$13-$C$15-Flugzeugdaten!$Q$6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66" id="{1AA49C80-2B0E-46C5-B73A-7E5A72333A3F}">
            <x14:iconSet custom="1">
              <x14:cfvo type="percent">
                <xm:f>0</xm:f>
              </x14:cfvo>
              <x14:cfvo type="formula">
                <xm:f>Flugzeugdaten!$Q$12</xm:f>
              </x14:cfvo>
              <x14:cfvo type="formula" gte="0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F16</xm:sqref>
        </x14:conditionalFormatting>
        <x14:conditionalFormatting xmlns:xm="http://schemas.microsoft.com/office/excel/2006/main">
          <x14:cfRule type="iconSet" priority="67" id="{1D7AC7D7-48A8-4353-91AF-E8DCCE289704}">
            <x14:iconSet custom="1">
              <x14:cfvo type="percent">
                <xm:f>0</xm:f>
              </x14:cfvo>
              <x14:cfvo type="formula">
                <xm:f>Flugzeugdaten!$Q$13</xm:f>
              </x14:cfvo>
              <x14:cfvo type="formula" gte="0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68" id="{60565B54-32E8-4AED-8DCB-6852723252D4}">
            <x14:iconSet custom="1">
              <x14:cfvo type="percent">
                <xm:f>0</xm:f>
              </x14:cfvo>
              <x14:cfvo type="formula">
                <xm:f>Flugzeugdaten!$Q$14</xm:f>
              </x14:cfvo>
              <x14:cfvo type="formula" gte="0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</xm:sqref>
        </x14:conditionalFormatting>
        <x14:conditionalFormatting xmlns:xm="http://schemas.microsoft.com/office/excel/2006/main">
          <x14:cfRule type="iconSet" priority="70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Flugzeugdaten!$H$11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18"/>
  <sheetViews>
    <sheetView workbookViewId="0">
      <selection activeCell="C6" sqref="C6"/>
    </sheetView>
  </sheetViews>
  <sheetFormatPr baseColWidth="10" defaultColWidth="11.42578125" defaultRowHeight="15" x14ac:dyDescent="0.25"/>
  <cols>
    <col min="2" max="2" width="14" customWidth="1"/>
    <col min="3" max="3" width="17.85546875" style="5" customWidth="1"/>
    <col min="4" max="4" width="25.7109375" customWidth="1"/>
    <col min="5" max="5" width="11.42578125" style="4"/>
    <col min="6" max="6" width="36.7109375" style="6" customWidth="1"/>
    <col min="7" max="8" width="7.28515625" style="9" customWidth="1"/>
    <col min="9" max="9" width="12.7109375" style="4" customWidth="1"/>
    <col min="10" max="10" width="11.42578125" style="10"/>
    <col min="11" max="11" width="13.5703125" style="4" customWidth="1"/>
    <col min="12" max="12" width="14.28515625" style="4" customWidth="1"/>
    <col min="13" max="13" width="10.7109375" style="6" customWidth="1"/>
    <col min="14" max="14" width="11.42578125" style="4"/>
    <col min="15" max="15" width="23.28515625" style="6" customWidth="1"/>
    <col min="18" max="18" width="11.42578125" style="5"/>
  </cols>
  <sheetData>
    <row r="1" spans="1:18" x14ac:dyDescent="0.25">
      <c r="A1" s="123" t="s">
        <v>33</v>
      </c>
      <c r="B1" s="123"/>
      <c r="C1" s="124"/>
      <c r="D1" s="121" t="s">
        <v>34</v>
      </c>
      <c r="E1" s="83"/>
      <c r="F1" s="121" t="s">
        <v>35</v>
      </c>
      <c r="G1" s="83"/>
      <c r="H1" s="83"/>
      <c r="I1" s="122"/>
      <c r="J1" s="121" t="s">
        <v>36</v>
      </c>
      <c r="K1" s="83"/>
      <c r="L1" s="83"/>
      <c r="M1" s="121" t="s">
        <v>37</v>
      </c>
      <c r="N1" s="122"/>
      <c r="O1" s="83" t="s">
        <v>38</v>
      </c>
      <c r="P1" s="83"/>
      <c r="Q1" s="83"/>
      <c r="R1" s="122"/>
    </row>
    <row r="2" spans="1:18" x14ac:dyDescent="0.25">
      <c r="A2" s="125" t="s">
        <v>39</v>
      </c>
      <c r="B2" s="125"/>
      <c r="C2" s="5" t="s">
        <v>40</v>
      </c>
      <c r="D2" s="7" t="s">
        <v>41</v>
      </c>
      <c r="E2" s="21" t="s">
        <v>42</v>
      </c>
      <c r="F2" s="8" t="s">
        <v>43</v>
      </c>
      <c r="G2" s="19" t="s">
        <v>10</v>
      </c>
      <c r="H2" s="19" t="s">
        <v>14</v>
      </c>
      <c r="I2" s="20" t="s">
        <v>44</v>
      </c>
      <c r="J2" s="22" t="s">
        <v>16</v>
      </c>
      <c r="K2" s="21" t="s">
        <v>23</v>
      </c>
      <c r="L2" s="21" t="s">
        <v>24</v>
      </c>
      <c r="M2" s="8" t="s">
        <v>45</v>
      </c>
      <c r="N2" s="20" t="s">
        <v>46</v>
      </c>
      <c r="O2" s="8" t="s">
        <v>47</v>
      </c>
      <c r="P2" s="17" t="s">
        <v>10</v>
      </c>
      <c r="Q2" s="17" t="s">
        <v>14</v>
      </c>
      <c r="R2" s="18" t="s">
        <v>42</v>
      </c>
    </row>
    <row r="3" spans="1:18" x14ac:dyDescent="0.25">
      <c r="A3" s="126" t="s">
        <v>48</v>
      </c>
      <c r="B3" s="126"/>
      <c r="C3" s="32" t="s">
        <v>49</v>
      </c>
      <c r="D3" t="s">
        <v>50</v>
      </c>
      <c r="E3" s="4">
        <f>143.5*N5</f>
        <v>3.6448999999999998</v>
      </c>
      <c r="F3" s="6" t="s">
        <v>51</v>
      </c>
      <c r="G3" s="9">
        <f>3150*N4</f>
        <v>1428.8147999999999</v>
      </c>
      <c r="J3" s="10">
        <f>G6</f>
        <v>952.54319999999996</v>
      </c>
      <c r="K3" s="4">
        <f>I6</f>
        <v>3.5001200000000003</v>
      </c>
      <c r="L3" s="4">
        <f>J3*K3</f>
        <v>3334.0155051840002</v>
      </c>
      <c r="M3" s="6" t="s">
        <v>52</v>
      </c>
      <c r="N3" s="4">
        <v>0.72</v>
      </c>
      <c r="O3" s="6" t="s">
        <v>53</v>
      </c>
      <c r="P3" s="9">
        <f>2100*N4</f>
        <v>952.54319999999996</v>
      </c>
      <c r="Q3" s="9"/>
      <c r="R3" s="16"/>
    </row>
    <row r="4" spans="1:18" x14ac:dyDescent="0.25">
      <c r="A4" s="83" t="s">
        <v>74</v>
      </c>
      <c r="B4" s="83"/>
      <c r="C4" s="122"/>
      <c r="D4" t="s">
        <v>12</v>
      </c>
      <c r="E4" s="4">
        <f>180*N5</f>
        <v>4.5720000000000001</v>
      </c>
      <c r="F4" s="6" t="s">
        <v>54</v>
      </c>
      <c r="G4" s="9">
        <f>3150*N4</f>
        <v>1428.8147999999999</v>
      </c>
      <c r="J4" s="10">
        <f>G7</f>
        <v>1224.6984</v>
      </c>
      <c r="K4" s="4">
        <f>I7</f>
        <v>3.5331399999999995</v>
      </c>
      <c r="L4" s="4">
        <f>J4*K4</f>
        <v>4327.030904975999</v>
      </c>
      <c r="M4" s="6" t="s">
        <v>55</v>
      </c>
      <c r="N4" s="4">
        <v>0.453592</v>
      </c>
      <c r="O4" s="6" t="s">
        <v>56</v>
      </c>
      <c r="P4" s="9">
        <v>950</v>
      </c>
      <c r="Q4" s="9"/>
      <c r="R4" s="16"/>
    </row>
    <row r="5" spans="1:18" x14ac:dyDescent="0.25">
      <c r="A5" s="17" t="s">
        <v>16</v>
      </c>
      <c r="B5" s="17" t="s">
        <v>23</v>
      </c>
      <c r="C5" s="18" t="s">
        <v>24</v>
      </c>
      <c r="D5" t="s">
        <v>57</v>
      </c>
      <c r="E5" s="4">
        <f>208*N5</f>
        <v>5.2831999999999999</v>
      </c>
      <c r="F5" s="6" t="s">
        <v>58</v>
      </c>
      <c r="G5" s="9">
        <f>130*N4</f>
        <v>58.96696</v>
      </c>
      <c r="J5" s="10">
        <f>G8</f>
        <v>1428.8147999999999</v>
      </c>
      <c r="K5" s="4">
        <f>I8</f>
        <v>3.5839399999999997</v>
      </c>
      <c r="L5" s="4">
        <f>J5*K5</f>
        <v>5120.7865143119989</v>
      </c>
      <c r="M5" s="6" t="s">
        <v>59</v>
      </c>
      <c r="N5" s="50">
        <v>2.5399999999999999E-2</v>
      </c>
      <c r="O5" s="6" t="s">
        <v>60</v>
      </c>
      <c r="P5" s="9"/>
      <c r="Q5" s="9"/>
      <c r="R5" s="16">
        <v>3.5</v>
      </c>
    </row>
    <row r="6" spans="1:18" x14ac:dyDescent="0.25">
      <c r="A6" s="1">
        <f>2114*N4</f>
        <v>958.89348799999993</v>
      </c>
      <c r="B6" s="4">
        <f>C6/A6</f>
        <v>3.5977766319772946</v>
      </c>
      <c r="C6" s="16">
        <f>299437*N6</f>
        <v>3449.8845836815999</v>
      </c>
      <c r="D6" t="s">
        <v>61</v>
      </c>
      <c r="E6" s="4">
        <f>153.8*N5</f>
        <v>3.90652</v>
      </c>
      <c r="F6" s="6" t="s">
        <v>62</v>
      </c>
      <c r="G6" s="9">
        <f>2100*$N$4</f>
        <v>952.54319999999996</v>
      </c>
      <c r="I6" s="4">
        <f>137.8*$N$5</f>
        <v>3.5001200000000003</v>
      </c>
      <c r="J6" s="10">
        <f>G10</f>
        <v>1428.8147999999999</v>
      </c>
      <c r="K6" s="4">
        <f>I10</f>
        <v>3.7617399999999996</v>
      </c>
      <c r="L6" s="4">
        <f>J6*K6</f>
        <v>5374.8297857519992</v>
      </c>
      <c r="M6" s="6" t="s">
        <v>63</v>
      </c>
      <c r="N6" s="50">
        <f>N4*N5</f>
        <v>1.1521236799999999E-2</v>
      </c>
      <c r="O6" s="6" t="s">
        <v>64</v>
      </c>
      <c r="P6" s="9"/>
      <c r="Q6" s="2">
        <f>9.5*N7*0.5</f>
        <v>17.980697500000002</v>
      </c>
      <c r="R6" s="16"/>
    </row>
    <row r="7" spans="1:18" x14ac:dyDescent="0.25">
      <c r="F7" s="6" t="s">
        <v>62</v>
      </c>
      <c r="G7" s="9">
        <f>2700*$N$4</f>
        <v>1224.6984</v>
      </c>
      <c r="I7" s="4">
        <f>139.1*$N$5</f>
        <v>3.5331399999999995</v>
      </c>
      <c r="J7" s="10">
        <f>G9</f>
        <v>952.54319999999996</v>
      </c>
      <c r="K7" s="4">
        <f>I9</f>
        <v>3.7617399999999996</v>
      </c>
      <c r="L7" s="4">
        <f>J7*K7</f>
        <v>3583.2198571679996</v>
      </c>
      <c r="M7" s="6" t="s">
        <v>65</v>
      </c>
      <c r="N7" s="4">
        <v>3.7854100000000002</v>
      </c>
      <c r="O7" s="6" t="s">
        <v>66</v>
      </c>
      <c r="P7" s="9"/>
      <c r="Q7" s="9">
        <f>1.5*Q6</f>
        <v>26.971046250000001</v>
      </c>
      <c r="R7" s="16"/>
    </row>
    <row r="8" spans="1:18" x14ac:dyDescent="0.25">
      <c r="F8" s="6" t="s">
        <v>62</v>
      </c>
      <c r="G8" s="9">
        <f>3150*$N$4</f>
        <v>1428.8147999999999</v>
      </c>
      <c r="I8" s="4">
        <f>141.1*$N$5</f>
        <v>3.5839399999999997</v>
      </c>
      <c r="J8" s="10">
        <f>J3</f>
        <v>952.54319999999996</v>
      </c>
      <c r="K8" s="4">
        <f>K3</f>
        <v>3.5001200000000003</v>
      </c>
      <c r="L8" s="4">
        <f>L3</f>
        <v>3334.0155051840002</v>
      </c>
      <c r="P8" s="55"/>
    </row>
    <row r="9" spans="1:18" x14ac:dyDescent="0.25">
      <c r="F9" s="6" t="s">
        <v>67</v>
      </c>
      <c r="G9" s="9">
        <f>2100*$N$4</f>
        <v>952.54319999999996</v>
      </c>
      <c r="I9" s="4">
        <f>148.1*$N$5</f>
        <v>3.7617399999999996</v>
      </c>
      <c r="P9" s="55"/>
      <c r="R9" s="16"/>
    </row>
    <row r="10" spans="1:18" x14ac:dyDescent="0.25">
      <c r="F10" s="6" t="s">
        <v>67</v>
      </c>
      <c r="G10" s="9">
        <f>3150*$N$4</f>
        <v>1428.8147999999999</v>
      </c>
      <c r="I10" s="4">
        <f>148.1*$N$5</f>
        <v>3.7617399999999996</v>
      </c>
      <c r="O10" s="8"/>
      <c r="P10" s="54"/>
      <c r="Q10" s="54"/>
      <c r="R10" s="53"/>
    </row>
    <row r="11" spans="1:18" x14ac:dyDescent="0.25">
      <c r="F11" s="6" t="s">
        <v>61</v>
      </c>
      <c r="H11" s="9">
        <v>212</v>
      </c>
      <c r="O11" s="8" t="s">
        <v>47</v>
      </c>
      <c r="P11" s="52" t="s">
        <v>68</v>
      </c>
      <c r="Q11" s="52" t="s">
        <v>69</v>
      </c>
      <c r="R11" s="53" t="s">
        <v>70</v>
      </c>
    </row>
    <row r="12" spans="1:18" x14ac:dyDescent="0.25">
      <c r="O12" s="6" t="s">
        <v>71</v>
      </c>
      <c r="Q12">
        <f>MAX($I$6 + (Druckansicht!$D$16-$G$6)*($I$7-$I$6)/($G$7-$G$6), $I$7 + (Druckansicht!$D$16-$G$7)*($I$8-$I$7)/($G$8-$G$7))</f>
        <v>3.5003925372499225</v>
      </c>
      <c r="R12" s="61">
        <f>$I$9</f>
        <v>3.7617399999999996</v>
      </c>
    </row>
    <row r="13" spans="1:18" x14ac:dyDescent="0.25">
      <c r="I13" s="16"/>
      <c r="O13" s="6" t="s">
        <v>72</v>
      </c>
      <c r="P13" s="9"/>
      <c r="Q13">
        <f>MAX($I$6 + (Druckansicht!$D$18-$G$6)*($I$7-$I$6)/($G$7-$G$6), $I$7 + (Druckansicht!$D$18-$G$7)*($I$8-$I$7)/($G$8-$G$7))</f>
        <v>3.5003925372499225</v>
      </c>
      <c r="R13" s="16">
        <f>$I$9</f>
        <v>3.7617399999999996</v>
      </c>
    </row>
    <row r="14" spans="1:18" x14ac:dyDescent="0.25">
      <c r="O14" s="6" t="s">
        <v>73</v>
      </c>
      <c r="Q14">
        <f>MAX($I$6 + (Druckansicht!$D$12-$G$6)*($I$7-$I$6)/($G$7-$G$6), $I$7 + (Druckansicht!$D$12-$G$7)*($I$8-$I$7)/($G$8-$G$7))</f>
        <v>3.5008904666666671</v>
      </c>
      <c r="R14" s="16">
        <f>$I$9</f>
        <v>3.7617399999999996</v>
      </c>
    </row>
    <row r="16" spans="1:18" x14ac:dyDescent="0.25">
      <c r="Q16" s="55"/>
    </row>
    <row r="18" spans="9:10" x14ac:dyDescent="0.25">
      <c r="I18" s="16"/>
      <c r="J18" s="9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dcterms:created xsi:type="dcterms:W3CDTF">2021-02-05T21:44:30Z</dcterms:created>
  <dcterms:modified xsi:type="dcterms:W3CDTF">2021-07-02T14:04:29Z</dcterms:modified>
  <cp:category/>
  <cp:contentStatus/>
</cp:coreProperties>
</file>