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jnuk\Desktop\"/>
    </mc:Choice>
  </mc:AlternateContent>
  <bookViews>
    <workbookView xWindow="-120" yWindow="-120" windowWidth="29040" windowHeight="15840"/>
  </bookViews>
  <sheets>
    <sheet name="Dateneingabe" sheetId="4" r:id="rId1"/>
    <sheet name="Druckansicht" sheetId="2" r:id="rId2"/>
    <sheet name="Flugzeugdaten" sheetId="3" state="hidden" r:id="rId3"/>
  </sheets>
  <definedNames>
    <definedName name="_xlnm.Print_Area" localSheetId="0">Dateneingabe!$A$25:$E$25</definedName>
    <definedName name="_xlnm.Print_Area" localSheetId="1">Druckansicht!$A$1:$G$48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S6" i="3"/>
  <c r="J6" i="3"/>
  <c r="L6" i="3" s="1"/>
  <c r="K6" i="3"/>
  <c r="K7" i="3"/>
  <c r="Q9" i="3"/>
  <c r="A14" i="2"/>
  <c r="E10" i="2"/>
  <c r="D10" i="2"/>
  <c r="B6" i="3" l="1"/>
  <c r="G10" i="2" l="1"/>
  <c r="F9" i="2"/>
  <c r="B2" i="4"/>
  <c r="A1" i="2" l="1"/>
  <c r="A1" i="4" s="1"/>
  <c r="A11" i="2"/>
  <c r="A12" i="4" s="1"/>
  <c r="A16" i="2"/>
  <c r="A21" i="4" s="1"/>
  <c r="A18" i="2"/>
  <c r="A22" i="4" s="1"/>
  <c r="A2" i="2"/>
  <c r="A2" i="4" s="1"/>
  <c r="J1" i="4"/>
  <c r="D1" i="4"/>
  <c r="F2" i="2"/>
  <c r="J2" i="4" s="1"/>
  <c r="B6" i="4"/>
  <c r="G5" i="2" s="1"/>
  <c r="C5" i="2"/>
  <c r="G4" i="2"/>
  <c r="D4" i="2"/>
  <c r="A23" i="4"/>
  <c r="A17" i="4"/>
  <c r="A16" i="4"/>
  <c r="C17" i="2"/>
  <c r="D17" i="2" s="1"/>
  <c r="C15" i="2"/>
  <c r="D15" i="2" s="1"/>
  <c r="C13" i="2"/>
  <c r="D13" i="2" s="1"/>
  <c r="D11" i="2"/>
  <c r="D9" i="2"/>
  <c r="E9" i="2"/>
  <c r="Q10" i="3"/>
  <c r="F17" i="2"/>
  <c r="F15" i="2"/>
  <c r="F13" i="2"/>
  <c r="D8" i="2"/>
  <c r="G8" i="2"/>
  <c r="F11" i="2"/>
  <c r="A13" i="2"/>
  <c r="A15" i="4" s="1"/>
  <c r="K5" i="3"/>
  <c r="J4" i="3"/>
  <c r="J5" i="3" s="1"/>
  <c r="K3" i="3"/>
  <c r="K8" i="3" s="1"/>
  <c r="J3" i="3"/>
  <c r="J7" i="3" s="1"/>
  <c r="F8" i="2"/>
  <c r="K4" i="3" l="1"/>
  <c r="L3" i="3"/>
  <c r="L8" i="3" s="1"/>
  <c r="J8" i="3"/>
  <c r="L5" i="3"/>
  <c r="G9" i="2"/>
  <c r="L7" i="3"/>
  <c r="L4" i="3"/>
  <c r="G13" i="2"/>
  <c r="G17" i="2"/>
  <c r="G11" i="2"/>
  <c r="D12" i="2"/>
  <c r="G15" i="2"/>
  <c r="D14" i="2" l="1"/>
  <c r="D16" i="2" s="1"/>
  <c r="R6" i="3" s="1"/>
  <c r="R8" i="3"/>
  <c r="G12" i="2"/>
  <c r="F12" i="2" s="1"/>
  <c r="E23" i="4" s="1"/>
  <c r="D23" i="4"/>
  <c r="D18" i="2" l="1"/>
  <c r="D22" i="4" s="1"/>
  <c r="D21" i="4"/>
  <c r="G14" i="2"/>
  <c r="F14" i="2" s="1"/>
  <c r="R7" i="3" l="1"/>
  <c r="G16" i="2"/>
  <c r="G18" i="2" s="1"/>
  <c r="F18" i="2" s="1"/>
  <c r="E22" i="4" s="1"/>
  <c r="F16" i="2" l="1"/>
  <c r="E21" i="4" s="1"/>
</calcChain>
</file>

<file path=xl/sharedStrings.xml><?xml version="1.0" encoding="utf-8"?>
<sst xmlns="http://schemas.openxmlformats.org/spreadsheetml/2006/main" count="96" uniqueCount="69">
  <si>
    <t>Angaben zum Flug</t>
  </si>
  <si>
    <t>Route</t>
  </si>
  <si>
    <t>von</t>
  </si>
  <si>
    <t>EDFZ</t>
  </si>
  <si>
    <t>nach</t>
  </si>
  <si>
    <t>Flugdatum</t>
  </si>
  <si>
    <t>PIC</t>
  </si>
  <si>
    <t>Beladung</t>
  </si>
  <si>
    <t>[kg]</t>
  </si>
  <si>
    <t>Treibstoff</t>
  </si>
  <si>
    <t>[L]</t>
  </si>
  <si>
    <t>Flugmassen &amp; Schwerpunktslage</t>
  </si>
  <si>
    <t>Masse [kg]</t>
  </si>
  <si>
    <t>C.G. [m]</t>
  </si>
  <si>
    <t>Zum Drucken bitte unten das Blatt "Druckansicht" auswählen</t>
  </si>
  <si>
    <t>Masse &amp; Schwerpunkt Berechnung</t>
  </si>
  <si>
    <t>Luftfahrtverein Mainz e.V.</t>
  </si>
  <si>
    <t>Masse &amp; Schwerpunkt // Tabelle</t>
  </si>
  <si>
    <t>Treibstoff [L]</t>
  </si>
  <si>
    <t>Hebelarm [m]</t>
  </si>
  <si>
    <t>Moment [kgm]</t>
  </si>
  <si>
    <t>Leermasse</t>
  </si>
  <si>
    <t>Flugmasse ohne Treibstoff</t>
  </si>
  <si>
    <t>Treibstoff für Anlassen &amp; Rollen</t>
  </si>
  <si>
    <t>Treibstoff für Flugstrecke</t>
  </si>
  <si>
    <t>Masse &amp; Schwerpunkt // Diagramm</t>
  </si>
  <si>
    <t>Zulässiger Flugmassen-Schwerpunktbereich</t>
  </si>
  <si>
    <t>VORNE</t>
  </si>
  <si>
    <t>HINTEN</t>
  </si>
  <si>
    <t>Kein Ersatz für die im Flughandbuch beschriebene Berechnung. Alle Angaben ohne Gewähr.</t>
  </si>
  <si>
    <t>Flugzeugdaten</t>
  </si>
  <si>
    <t>Betriebsgrenzen</t>
  </si>
  <si>
    <t>Massen-/Momentengrenzen</t>
  </si>
  <si>
    <t>Umrechnungstabelle</t>
  </si>
  <si>
    <t>Diagrammformatierung</t>
  </si>
  <si>
    <t>Registrierung</t>
  </si>
  <si>
    <t>Bezeichnung</t>
  </si>
  <si>
    <t>[m]</t>
  </si>
  <si>
    <t>Grenze</t>
  </si>
  <si>
    <t>[m] hinter BE</t>
  </si>
  <si>
    <t>Einheiten</t>
  </si>
  <si>
    <t>Faktor</t>
  </si>
  <si>
    <t>Label</t>
  </si>
  <si>
    <t>Typ</t>
  </si>
  <si>
    <t>Höchstzulässige Startmasse</t>
  </si>
  <si>
    <t>kg/L</t>
  </si>
  <si>
    <t>untere Gewichtsgrenze</t>
  </si>
  <si>
    <t>Höchstzulässige Landemasse</t>
  </si>
  <si>
    <t>x-Achse</t>
  </si>
  <si>
    <t>Gepäck</t>
  </si>
  <si>
    <t>Höchszulässige Masse im Gepäckraum</t>
  </si>
  <si>
    <t>y-Achse</t>
  </si>
  <si>
    <t>Ausfliegbarer Treibstoff</t>
  </si>
  <si>
    <t>30 min reserve</t>
  </si>
  <si>
    <t>45 min reserve</t>
  </si>
  <si>
    <t>Start</t>
  </si>
  <si>
    <t>Landung</t>
  </si>
  <si>
    <t>ohne Treibstoff</t>
  </si>
  <si>
    <t>D-ETIK</t>
  </si>
  <si>
    <t>PA28 Warrior</t>
  </si>
  <si>
    <t>Vordersitzinsassen</t>
  </si>
  <si>
    <t>Rücksitzinsassen</t>
  </si>
  <si>
    <t>Höchstzulässige Rollmasse</t>
  </si>
  <si>
    <t>Hebelarme ab Bezugsebene</t>
  </si>
  <si>
    <t>Pilot &amp; Passagier vorne</t>
  </si>
  <si>
    <t>aft CG limit</t>
  </si>
  <si>
    <t>fwd CG limit</t>
  </si>
  <si>
    <t>fwd Schwerpunktgrenze</t>
  </si>
  <si>
    <t>Wägedaten vom 15.01.2014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</si>
</sst>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8">
    <xf numFmtId="0" fontId="0" fillId="0" borderId="0" xfId="0"/>
    <xf numFmtId="2" fontId="0" fillId="0" borderId="0" xfId="0" applyNumberFormat="1"/>
    <xf numFmtId="164" fontId="0" fillId="0" borderId="0" xfId="0" applyNumberFormat="1" applyBorder="1"/>
    <xf numFmtId="164" fontId="0" fillId="0" borderId="2" xfId="0" applyNumberFormat="1" applyBorder="1"/>
    <xf numFmtId="165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7" xfId="0" applyFill="1" applyBorder="1"/>
    <xf numFmtId="0" fontId="0" fillId="0" borderId="7" xfId="0" applyBorder="1"/>
    <xf numFmtId="165" fontId="0" fillId="0" borderId="0" xfId="0" applyNumberFormat="1" applyBorder="1"/>
    <xf numFmtId="1" fontId="0" fillId="0" borderId="0" xfId="0" applyNumberFormat="1" applyBorder="1"/>
    <xf numFmtId="1" fontId="0" fillId="0" borderId="4" xfId="0" applyNumberFormat="1" applyBorder="1"/>
    <xf numFmtId="0" fontId="0" fillId="0" borderId="0" xfId="1" applyNumberFormat="1" applyFont="1"/>
    <xf numFmtId="0" fontId="0" fillId="0" borderId="0" xfId="0" applyBorder="1"/>
    <xf numFmtId="0" fontId="8" fillId="0" borderId="0" xfId="0" applyFont="1" applyBorder="1"/>
    <xf numFmtId="164" fontId="8" fillId="0" borderId="7" xfId="0" applyNumberFormat="1" applyFont="1" applyBorder="1"/>
    <xf numFmtId="165" fontId="8" fillId="0" borderId="13" xfId="0" applyNumberFormat="1" applyFont="1" applyBorder="1"/>
    <xf numFmtId="165" fontId="0" fillId="0" borderId="3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65" fontId="0" fillId="0" borderId="5" xfId="0" applyNumberForma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4" fontId="8" fillId="5" borderId="1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3" borderId="8" xfId="0" applyFill="1" applyBorder="1" applyAlignment="1">
      <alignment horizontal="right"/>
    </xf>
    <xf numFmtId="14" fontId="0" fillId="3" borderId="1" xfId="0" applyNumberFormat="1" applyFill="1" applyBorder="1"/>
    <xf numFmtId="0" fontId="8" fillId="5" borderId="11" xfId="0" applyFont="1" applyFill="1" applyBorder="1" applyAlignment="1" applyProtection="1">
      <alignment horizontal="right"/>
      <protection locked="0"/>
    </xf>
    <xf numFmtId="164" fontId="0" fillId="0" borderId="15" xfId="0" applyNumberFormat="1" applyBorder="1"/>
    <xf numFmtId="164" fontId="0" fillId="0" borderId="13" xfId="0" applyNumberFormat="1" applyBorder="1"/>
    <xf numFmtId="0" fontId="9" fillId="0" borderId="0" xfId="0" applyFont="1" applyAlignment="1">
      <alignment horizontal="center"/>
    </xf>
    <xf numFmtId="0" fontId="0" fillId="0" borderId="0" xfId="0" applyFont="1"/>
    <xf numFmtId="0" fontId="10" fillId="0" borderId="12" xfId="0" applyFont="1" applyBorder="1" applyAlignment="1">
      <alignment vertical="center"/>
    </xf>
    <xf numFmtId="0" fontId="0" fillId="0" borderId="5" xfId="0" applyBorder="1"/>
    <xf numFmtId="0" fontId="5" fillId="0" borderId="12" xfId="0" applyFont="1" applyBorder="1"/>
    <xf numFmtId="0" fontId="5" fillId="3" borderId="1" xfId="0" applyFont="1" applyFill="1" applyBorder="1"/>
    <xf numFmtId="0" fontId="5" fillId="0" borderId="13" xfId="0" applyFont="1" applyBorder="1"/>
    <xf numFmtId="0" fontId="7" fillId="2" borderId="5" xfId="0" applyFont="1" applyFill="1" applyBorder="1" applyAlignment="1">
      <alignment horizontal="right"/>
    </xf>
    <xf numFmtId="0" fontId="8" fillId="0" borderId="10" xfId="0" applyFont="1" applyBorder="1"/>
    <xf numFmtId="0" fontId="5" fillId="4" borderId="9" xfId="0" applyFont="1" applyFill="1" applyBorder="1"/>
    <xf numFmtId="0" fontId="8" fillId="5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0" fillId="0" borderId="10" xfId="0" applyBorder="1"/>
    <xf numFmtId="0" fontId="8" fillId="0" borderId="0" xfId="0" applyFont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11" fillId="0" borderId="1" xfId="0" applyNumberFormat="1" applyFont="1" applyBorder="1"/>
    <xf numFmtId="2" fontId="11" fillId="0" borderId="1" xfId="0" applyNumberFormat="1" applyFont="1" applyBorder="1"/>
    <xf numFmtId="2" fontId="11" fillId="3" borderId="1" xfId="0" applyNumberFormat="1" applyFont="1" applyFill="1" applyBorder="1" applyAlignment="1"/>
    <xf numFmtId="165" fontId="12" fillId="3" borderId="1" xfId="0" applyNumberFormat="1" applyFont="1" applyFill="1" applyBorder="1" applyAlignment="1"/>
    <xf numFmtId="0" fontId="13" fillId="0" borderId="0" xfId="0" applyFont="1"/>
    <xf numFmtId="0" fontId="13" fillId="0" borderId="13" xfId="0" applyFont="1" applyBorder="1" applyAlignment="1"/>
    <xf numFmtId="164" fontId="0" fillId="0" borderId="2" xfId="0" applyNumberFormat="1" applyBorder="1" applyAlignment="1"/>
    <xf numFmtId="166" fontId="0" fillId="0" borderId="0" xfId="0" applyNumberFormat="1"/>
    <xf numFmtId="166" fontId="0" fillId="0" borderId="3" xfId="0" applyNumberFormat="1" applyBorder="1"/>
    <xf numFmtId="0" fontId="8" fillId="5" borderId="6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center"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8" fillId="5" borderId="8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5" fillId="4" borderId="2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0" fontId="5" fillId="3" borderId="2" xfId="0" applyFont="1" applyFill="1" applyBorder="1"/>
    <xf numFmtId="0" fontId="5" fillId="3" borderId="8" xfId="0" applyFont="1" applyFill="1" applyBorder="1"/>
    <xf numFmtId="0" fontId="0" fillId="0" borderId="0" xfId="0" applyBorder="1" applyAlignment="1">
      <alignment horizontal="center"/>
    </xf>
    <xf numFmtId="0" fontId="5" fillId="3" borderId="2" xfId="0" applyFont="1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9" fontId="5" fillId="0" borderId="2" xfId="1" applyFont="1" applyBorder="1" applyAlignment="1"/>
    <xf numFmtId="9" fontId="5" fillId="0" borderId="8" xfId="1" applyFont="1" applyBorder="1" applyAlignment="1"/>
    <xf numFmtId="9" fontId="5" fillId="0" borderId="9" xfId="1" applyFont="1" applyBorder="1" applyAlignment="1"/>
    <xf numFmtId="0" fontId="8" fillId="6" borderId="2" xfId="0" applyFont="1" applyFill="1" applyBorder="1" applyAlignment="1"/>
    <xf numFmtId="0" fontId="8" fillId="6" borderId="8" xfId="0" applyFont="1" applyFill="1" applyBorder="1" applyAlignment="1"/>
    <xf numFmtId="0" fontId="8" fillId="6" borderId="9" xfId="0" applyFont="1" applyFill="1" applyBorder="1" applyAlignment="1"/>
    <xf numFmtId="0" fontId="0" fillId="0" borderId="2" xfId="0" applyBorder="1"/>
    <xf numFmtId="0" fontId="0" fillId="0" borderId="9" xfId="0" applyBorder="1"/>
    <xf numFmtId="0" fontId="0" fillId="3" borderId="1" xfId="0" applyFill="1" applyBorder="1" applyAlignment="1">
      <alignment horizontal="center"/>
    </xf>
    <xf numFmtId="164" fontId="2" fillId="3" borderId="1" xfId="0" applyNumberFormat="1" applyFont="1" applyFill="1" applyBorder="1" applyAlignment="1"/>
    <xf numFmtId="164" fontId="0" fillId="0" borderId="1" xfId="0" applyNumberFormat="1" applyBorder="1" applyAlignment="1"/>
    <xf numFmtId="0" fontId="0" fillId="0" borderId="8" xfId="0" applyBorder="1" applyAlignment="1"/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2" xfId="0" applyBorder="1" applyAlignment="1"/>
    <xf numFmtId="0" fontId="0" fillId="0" borderId="9" xfId="0" applyBorder="1" applyAlignment="1"/>
    <xf numFmtId="0" fontId="2" fillId="3" borderId="2" xfId="0" applyFont="1" applyFill="1" applyBorder="1" applyAlignment="1"/>
    <xf numFmtId="0" fontId="2" fillId="3" borderId="9" xfId="0" applyFont="1" applyFill="1" applyBorder="1" applyAlignment="1"/>
    <xf numFmtId="9" fontId="0" fillId="0" borderId="2" xfId="1" applyFont="1" applyBorder="1" applyAlignment="1"/>
    <xf numFmtId="9" fontId="0" fillId="0" borderId="9" xfId="1" applyFont="1" applyBorder="1" applyAlignment="1"/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164" fontId="8" fillId="0" borderId="2" xfId="0" applyNumberFormat="1" applyFont="1" applyFill="1" applyBorder="1"/>
    <xf numFmtId="165" fontId="8" fillId="0" borderId="1" xfId="0" applyNumberFormat="1" applyFont="1" applyFill="1" applyBorder="1"/>
    <xf numFmtId="164" fontId="8" fillId="3" borderId="7" xfId="0" applyNumberFormat="1" applyFont="1" applyFill="1" applyBorder="1"/>
    <xf numFmtId="165" fontId="8" fillId="3" borderId="13" xfId="0" applyNumberFormat="1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Flugzeugdaten!$K$3:$K$8</c:f>
              <c:numCache>
                <c:formatCode>0.000</c:formatCode>
                <c:ptCount val="6"/>
                <c:pt idx="0">
                  <c:v>2.36</c:v>
                </c:pt>
                <c:pt idx="1">
                  <c:v>2.36</c:v>
                </c:pt>
                <c:pt idx="2">
                  <c:v>2.11</c:v>
                </c:pt>
                <c:pt idx="3">
                  <c:v>2.11</c:v>
                </c:pt>
                <c:pt idx="4">
                  <c:v>2.2400000000000002</c:v>
                </c:pt>
                <c:pt idx="5">
                  <c:v>2.36</c:v>
                </c:pt>
              </c:numCache>
            </c:numRef>
          </c:xVal>
          <c:yVal>
            <c:numRef>
              <c:f>Flugzeugdaten!$J$3:$J$8</c:f>
              <c:numCache>
                <c:formatCode>0</c:formatCode>
                <c:ptCount val="6"/>
                <c:pt idx="0">
                  <c:v>1107</c:v>
                </c:pt>
                <c:pt idx="1">
                  <c:v>600</c:v>
                </c:pt>
                <c:pt idx="2">
                  <c:v>600</c:v>
                </c:pt>
                <c:pt idx="3">
                  <c:v>885</c:v>
                </c:pt>
                <c:pt idx="4">
                  <c:v>1107</c:v>
                </c:pt>
                <c:pt idx="5">
                  <c:v>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D-457D-934F-FC5CCF454179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Flugzeugdaten!$I$7:$I$9</c:f>
              <c:numCache>
                <c:formatCode>0.000</c:formatCode>
                <c:ptCount val="3"/>
                <c:pt idx="0">
                  <c:v>2.11</c:v>
                </c:pt>
                <c:pt idx="1">
                  <c:v>2.2400000000000002</c:v>
                </c:pt>
                <c:pt idx="2">
                  <c:v>2.36</c:v>
                </c:pt>
              </c:numCache>
            </c:numRef>
          </c:xVal>
          <c:yVal>
            <c:numRef>
              <c:f>(Flugzeugdaten!$P$4,Flugzeugdaten!$P$4,Flugzeugdaten!$P$4)</c:f>
              <c:numCache>
                <c:formatCode>0</c:formatCode>
                <c:ptCount val="3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D-457D-934F-FC5CCF454179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252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(Flugzeugdaten!$R$5,Flugzeugdaten!$R$5,Flugzeugdaten!$R$5)</c:f>
              <c:numCache>
                <c:formatCode>0.000</c:formatCode>
                <c:ptCount val="3"/>
                <c:pt idx="0">
                  <c:v>2.09</c:v>
                </c:pt>
                <c:pt idx="1">
                  <c:v>2.09</c:v>
                </c:pt>
                <c:pt idx="2">
                  <c:v>2.09</c:v>
                </c:pt>
              </c:numCache>
            </c:numRef>
          </c:xVal>
          <c:yVal>
            <c:numRef>
              <c:f>(Flugzeugdaten!$J$5,Flugzeugdaten!$J$6,Flugzeugdaten!$J$7)</c:f>
              <c:numCache>
                <c:formatCode>0</c:formatCode>
                <c:ptCount val="3"/>
                <c:pt idx="0">
                  <c:v>600</c:v>
                </c:pt>
                <c:pt idx="1">
                  <c:v>885</c:v>
                </c:pt>
                <c:pt idx="2">
                  <c:v>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0D-457D-934F-FC5CCF454179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6B2FBE6-B464-410A-8B13-BDF7D3798D7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0D-457D-934F-FC5CCF45417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C7A9633-3F59-435E-9925-1C4D882B0B0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B0D-457D-934F-FC5CCF45417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D53144A-6169-4C98-81B5-80F619819AD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B0D-457D-934F-FC5CCF454179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2.1447244581321017</c:v>
                </c:pt>
                <c:pt idx="1">
                  <c:v>2.1447244581321017</c:v>
                </c:pt>
                <c:pt idx="2">
                  <c:v>2.1458890824622534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685.77599999999995</c:v>
                </c:pt>
                <c:pt idx="1">
                  <c:v>685.77599999999995</c:v>
                </c:pt>
                <c:pt idx="2">
                  <c:v>688.8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B0D-457D-934F-FC5CCF45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2.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3496071612"/>
              <c:y val="0.9617131401664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60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33287649385E-2"/>
              <c:y val="0.290890859205911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Flugzeugdaten!$K$3:$K$8</c:f>
              <c:numCache>
                <c:formatCode>0.000</c:formatCode>
                <c:ptCount val="6"/>
                <c:pt idx="0">
                  <c:v>2.36</c:v>
                </c:pt>
                <c:pt idx="1">
                  <c:v>2.36</c:v>
                </c:pt>
                <c:pt idx="2">
                  <c:v>2.11</c:v>
                </c:pt>
                <c:pt idx="3">
                  <c:v>2.11</c:v>
                </c:pt>
                <c:pt idx="4">
                  <c:v>2.2400000000000002</c:v>
                </c:pt>
                <c:pt idx="5">
                  <c:v>2.36</c:v>
                </c:pt>
              </c:numCache>
            </c:numRef>
          </c:xVal>
          <c:yVal>
            <c:numRef>
              <c:f>Flugzeugdaten!$J$3:$J$8</c:f>
              <c:numCache>
                <c:formatCode>0</c:formatCode>
                <c:ptCount val="6"/>
                <c:pt idx="0">
                  <c:v>1107</c:v>
                </c:pt>
                <c:pt idx="1">
                  <c:v>600</c:v>
                </c:pt>
                <c:pt idx="2">
                  <c:v>600</c:v>
                </c:pt>
                <c:pt idx="3">
                  <c:v>885</c:v>
                </c:pt>
                <c:pt idx="4">
                  <c:v>1107</c:v>
                </c:pt>
                <c:pt idx="5">
                  <c:v>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5-4001-AB85-990617947106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Flugzeugdaten!$I$7:$I$9</c:f>
              <c:numCache>
                <c:formatCode>0.000</c:formatCode>
                <c:ptCount val="3"/>
                <c:pt idx="0">
                  <c:v>2.11</c:v>
                </c:pt>
                <c:pt idx="1">
                  <c:v>2.2400000000000002</c:v>
                </c:pt>
                <c:pt idx="2">
                  <c:v>2.36</c:v>
                </c:pt>
              </c:numCache>
            </c:numRef>
          </c:xVal>
          <c:yVal>
            <c:numRef>
              <c:f>(Flugzeugdaten!$P$4,Flugzeugdaten!$P$4,Flugzeugdaten!$P$4)</c:f>
              <c:numCache>
                <c:formatCode>0</c:formatCode>
                <c:ptCount val="3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5-4001-AB85-990617947106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252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(Flugzeugdaten!$R$5,Flugzeugdaten!$R$5,Flugzeugdaten!$R$5)</c:f>
              <c:numCache>
                <c:formatCode>0.000</c:formatCode>
                <c:ptCount val="3"/>
                <c:pt idx="0">
                  <c:v>2.09</c:v>
                </c:pt>
                <c:pt idx="1">
                  <c:v>2.09</c:v>
                </c:pt>
                <c:pt idx="2">
                  <c:v>2.09</c:v>
                </c:pt>
              </c:numCache>
            </c:numRef>
          </c:xVal>
          <c:yVal>
            <c:numRef>
              <c:f>(Flugzeugdaten!$J$5,Flugzeugdaten!$J$6,Flugzeugdaten!$J$7)</c:f>
              <c:numCache>
                <c:formatCode>0</c:formatCode>
                <c:ptCount val="3"/>
                <c:pt idx="0">
                  <c:v>600</c:v>
                </c:pt>
                <c:pt idx="1">
                  <c:v>885</c:v>
                </c:pt>
                <c:pt idx="2">
                  <c:v>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95-4001-AB85-990617947106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433426D-19AA-4FAC-89E3-70A7BE095DD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95-4001-AB85-9906179471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3E5E5D6-778F-4D86-8E5E-D10EF976052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B95-4001-AB85-9906179471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9D357D-7CD7-4F6A-AE51-08E260DB715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B95-4001-AB85-990617947106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2.1447244581321017</c:v>
                </c:pt>
                <c:pt idx="1">
                  <c:v>2.1447244581321017</c:v>
                </c:pt>
                <c:pt idx="2">
                  <c:v>2.1458890824622534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685.77599999999995</c:v>
                </c:pt>
                <c:pt idx="1">
                  <c:v>685.77599999999995</c:v>
                </c:pt>
                <c:pt idx="2">
                  <c:v>688.8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B95-4001-AB85-99061794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2.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3496071612"/>
              <c:y val="0.9617131401664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60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33287649385E-2"/>
              <c:y val="0.290890859205911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0</xdr:rowOff>
    </xdr:from>
    <xdr:to>
      <xdr:col>12</xdr:col>
      <xdr:colOff>685800</xdr:colOff>
      <xdr:row>25</xdr:row>
      <xdr:rowOff>88656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6594</xdr:rowOff>
    </xdr:from>
    <xdr:to>
      <xdr:col>6</xdr:col>
      <xdr:colOff>904875</xdr:colOff>
      <xdr:row>47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1"/>
  </sheetPr>
  <dimension ref="A1:N25"/>
  <sheetViews>
    <sheetView showGridLines="0" showRowColHeaders="0" tabSelected="1" zoomScaleNormal="100" workbookViewId="0">
      <selection activeCell="C5" sqref="C5"/>
    </sheetView>
  </sheetViews>
  <sheetFormatPr baseColWidth="10" defaultColWidth="11.42578125" defaultRowHeight="15" x14ac:dyDescent="0.25"/>
  <cols>
    <col min="1" max="1" width="15.28515625" customWidth="1"/>
    <col min="2" max="3" width="11.42578125" customWidth="1"/>
    <col min="4" max="4" width="12" customWidth="1"/>
    <col min="5" max="7" width="11.42578125" customWidth="1"/>
  </cols>
  <sheetData>
    <row r="1" spans="1:14" ht="26.25" x14ac:dyDescent="0.4">
      <c r="A1" s="66" t="str">
        <f>Druckansicht!$A$1</f>
        <v>D-ETIK</v>
      </c>
      <c r="B1" s="66"/>
      <c r="C1" s="66"/>
      <c r="D1" s="67" t="str">
        <f>Druckansicht!$B$1</f>
        <v>Masse &amp; Schwerpunkt Berechnung</v>
      </c>
      <c r="E1" s="67"/>
      <c r="F1" s="67"/>
      <c r="G1" s="67"/>
      <c r="H1" s="67"/>
      <c r="I1" s="67"/>
      <c r="J1" s="64" t="str">
        <f>Druckansicht!$F$1</f>
        <v>Luftfahrtverein Mainz e.V.</v>
      </c>
      <c r="K1" s="64"/>
      <c r="L1" s="64"/>
      <c r="M1" s="46"/>
      <c r="N1" s="46"/>
    </row>
    <row r="2" spans="1:14" ht="18.75" customHeight="1" x14ac:dyDescent="0.3">
      <c r="A2" s="55" t="str">
        <f>Druckansicht!$A$2</f>
        <v>PA28 Warrior</v>
      </c>
      <c r="B2" s="65" t="str">
        <f>Druckansicht!$A$48</f>
        <v>Kein Ersatz für die im Flughandbuch beschriebene Berechnung. Alle Angaben ohne Gewähr.</v>
      </c>
      <c r="C2" s="65"/>
      <c r="D2" s="65"/>
      <c r="E2" s="65"/>
      <c r="F2" s="65"/>
      <c r="G2" s="65"/>
      <c r="H2" s="65"/>
      <c r="I2" s="65"/>
      <c r="J2" s="64" t="str">
        <f>Druckansicht!$F$2</f>
        <v>Wägedaten vom 15.01.2014</v>
      </c>
      <c r="K2" s="64"/>
      <c r="L2" s="64"/>
      <c r="M2" s="46"/>
      <c r="N2" s="46"/>
    </row>
    <row r="3" spans="1:14" x14ac:dyDescent="0.25">
      <c r="A3" s="13"/>
      <c r="B3" s="13"/>
      <c r="C3" s="13"/>
      <c r="D3" s="13"/>
      <c r="E3" s="13"/>
    </row>
    <row r="4" spans="1:14" ht="18.75" x14ac:dyDescent="0.3">
      <c r="A4" s="62" t="s">
        <v>0</v>
      </c>
      <c r="B4" s="63"/>
      <c r="C4" s="63"/>
      <c r="D4" s="63"/>
      <c r="E4" s="68"/>
    </row>
    <row r="5" spans="1:14" ht="18.75" x14ac:dyDescent="0.3">
      <c r="A5" s="35" t="s">
        <v>1</v>
      </c>
      <c r="B5" s="25" t="s">
        <v>2</v>
      </c>
      <c r="C5" s="41" t="s">
        <v>3</v>
      </c>
      <c r="D5" s="42" t="s">
        <v>4</v>
      </c>
      <c r="E5" s="28" t="s">
        <v>3</v>
      </c>
      <c r="F5" s="12"/>
      <c r="H5" t="s">
        <v>27</v>
      </c>
      <c r="L5" t="s">
        <v>28</v>
      </c>
    </row>
    <row r="6" spans="1:14" ht="18.75" x14ac:dyDescent="0.3">
      <c r="A6" s="36" t="s">
        <v>5</v>
      </c>
      <c r="B6" s="69">
        <f ca="1">TODAY()</f>
        <v>44295</v>
      </c>
      <c r="C6" s="69"/>
      <c r="D6" s="69"/>
      <c r="E6" s="70"/>
      <c r="F6" s="12"/>
    </row>
    <row r="7" spans="1:14" ht="18.75" x14ac:dyDescent="0.3">
      <c r="A7" s="37" t="s">
        <v>6</v>
      </c>
      <c r="B7" s="60"/>
      <c r="C7" s="60"/>
      <c r="D7" s="60"/>
      <c r="E7" s="61"/>
      <c r="F7" s="12"/>
    </row>
    <row r="8" spans="1:14" x14ac:dyDescent="0.25">
      <c r="A8" s="13"/>
      <c r="B8" s="45"/>
    </row>
    <row r="9" spans="1:14" ht="18.75" x14ac:dyDescent="0.3">
      <c r="A9" s="62" t="s">
        <v>7</v>
      </c>
      <c r="B9" s="63"/>
      <c r="C9" s="63"/>
      <c r="D9" s="63"/>
      <c r="E9" s="38" t="s">
        <v>8</v>
      </c>
    </row>
    <row r="10" spans="1:14" ht="18.75" x14ac:dyDescent="0.3">
      <c r="A10" s="71" t="s">
        <v>64</v>
      </c>
      <c r="B10" s="72"/>
      <c r="C10" s="73"/>
      <c r="D10" s="24"/>
      <c r="E10" s="24"/>
    </row>
    <row r="11" spans="1:14" ht="18.75" x14ac:dyDescent="0.3">
      <c r="A11" s="74" t="s">
        <v>61</v>
      </c>
      <c r="B11" s="75"/>
      <c r="C11" s="75"/>
      <c r="D11" s="24"/>
      <c r="E11" s="24"/>
    </row>
    <row r="12" spans="1:14" ht="18.75" x14ac:dyDescent="0.3">
      <c r="A12" s="71" t="str">
        <f>Druckansicht!A11</f>
        <v>Gepäck (max. 90 kg)</v>
      </c>
      <c r="B12" s="72"/>
      <c r="C12" s="72"/>
      <c r="D12" s="40"/>
      <c r="E12" s="24"/>
    </row>
    <row r="13" spans="1:14" ht="18.75" x14ac:dyDescent="0.3">
      <c r="A13" s="14"/>
      <c r="B13" s="14"/>
      <c r="C13" s="39"/>
      <c r="D13" s="14"/>
      <c r="E13" s="14"/>
    </row>
    <row r="14" spans="1:14" ht="18.75" x14ac:dyDescent="0.3">
      <c r="A14" s="62" t="s">
        <v>9</v>
      </c>
      <c r="B14" s="63"/>
      <c r="C14" s="63"/>
      <c r="D14" s="63"/>
      <c r="E14" s="38" t="s">
        <v>10</v>
      </c>
    </row>
    <row r="15" spans="1:14" ht="18.75" x14ac:dyDescent="0.3">
      <c r="A15" s="80" t="str">
        <f>Druckansicht!A13</f>
        <v>Ausfliegbarer Treibstoff (max. 182,0 L)</v>
      </c>
      <c r="B15" s="81"/>
      <c r="C15" s="81"/>
      <c r="D15" s="82"/>
      <c r="E15" s="24"/>
    </row>
    <row r="16" spans="1:14" ht="18.75" x14ac:dyDescent="0.3">
      <c r="A16" s="77" t="str">
        <f>Druckansicht!A15</f>
        <v>Treibstoff für Anlassen &amp; Rollen</v>
      </c>
      <c r="B16" s="78"/>
      <c r="C16" s="78"/>
      <c r="D16" s="79"/>
      <c r="E16" s="24">
        <v>4.2</v>
      </c>
    </row>
    <row r="17" spans="1:5" ht="18.75" x14ac:dyDescent="0.3">
      <c r="A17" s="83" t="str">
        <f>Druckansicht!A17</f>
        <v>Treibstoff für Flugstrecke</v>
      </c>
      <c r="B17" s="84"/>
      <c r="C17" s="84"/>
      <c r="D17" s="85"/>
      <c r="E17" s="24"/>
    </row>
    <row r="19" spans="1:5" ht="18.75" x14ac:dyDescent="0.3">
      <c r="A19" s="62" t="s">
        <v>11</v>
      </c>
      <c r="B19" s="63"/>
      <c r="C19" s="63"/>
      <c r="D19" s="63"/>
      <c r="E19" s="68"/>
    </row>
    <row r="20" spans="1:5" ht="18.75" x14ac:dyDescent="0.3">
      <c r="A20" s="86"/>
      <c r="B20" s="87"/>
      <c r="C20" s="88"/>
      <c r="D20" s="43" t="s">
        <v>12</v>
      </c>
      <c r="E20" s="44" t="s">
        <v>13</v>
      </c>
    </row>
    <row r="21" spans="1:5" ht="18.75" x14ac:dyDescent="0.3">
      <c r="A21" s="121" t="str">
        <f>Druckansicht!A16</f>
        <v>Startmasse (max. 1107 kg)</v>
      </c>
      <c r="B21" s="122"/>
      <c r="C21" s="123"/>
      <c r="D21" s="124">
        <f>Druckansicht!D16</f>
        <v>685.77599999999995</v>
      </c>
      <c r="E21" s="125">
        <f>Druckansicht!F16</f>
        <v>2.1447244581321017</v>
      </c>
    </row>
    <row r="22" spans="1:5" ht="18.75" x14ac:dyDescent="0.3">
      <c r="A22" s="77" t="str">
        <f>Druckansicht!A18</f>
        <v>Landemasse (max. 1107 kg)</v>
      </c>
      <c r="B22" s="78"/>
      <c r="C22" s="79"/>
      <c r="D22" s="126">
        <f>Druckansicht!D18</f>
        <v>685.77599999999995</v>
      </c>
      <c r="E22" s="127">
        <f>Druckansicht!F18</f>
        <v>2.1447244581321017</v>
      </c>
    </row>
    <row r="23" spans="1:5" ht="18.75" x14ac:dyDescent="0.3">
      <c r="A23" s="80" t="str">
        <f>Druckansicht!A12</f>
        <v>Flugmasse ohne Treibstoff</v>
      </c>
      <c r="B23" s="81"/>
      <c r="C23" s="82"/>
      <c r="D23" s="15">
        <f>Druckansicht!D12</f>
        <v>688.8</v>
      </c>
      <c r="E23" s="16">
        <f>Druckansicht!F12</f>
        <v>2.1458890824622534</v>
      </c>
    </row>
    <row r="25" spans="1:5" x14ac:dyDescent="0.25">
      <c r="A25" s="76" t="s">
        <v>14</v>
      </c>
      <c r="B25" s="76"/>
      <c r="C25" s="76"/>
      <c r="D25" s="76"/>
      <c r="E25" s="76"/>
    </row>
  </sheetData>
  <sheetProtection sheet="1" objects="1" scenarios="1" selectLockedCells="1"/>
  <mergeCells count="22">
    <mergeCell ref="A25:E25"/>
    <mergeCell ref="A21:C21"/>
    <mergeCell ref="A22:C22"/>
    <mergeCell ref="A15:D15"/>
    <mergeCell ref="A16:D16"/>
    <mergeCell ref="A17:D17"/>
    <mergeCell ref="A19:E19"/>
    <mergeCell ref="A23:C23"/>
    <mergeCell ref="A20:C20"/>
    <mergeCell ref="B7:E7"/>
    <mergeCell ref="A14:D14"/>
    <mergeCell ref="J2:L2"/>
    <mergeCell ref="J1:L1"/>
    <mergeCell ref="B2:I2"/>
    <mergeCell ref="A1:C1"/>
    <mergeCell ref="D1:I1"/>
    <mergeCell ref="A4:E4"/>
    <mergeCell ref="B6:E6"/>
    <mergeCell ref="A9:D9"/>
    <mergeCell ref="A10:C10"/>
    <mergeCell ref="A11:C11"/>
    <mergeCell ref="A12:C12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3E0FA0B-349B-4538-8FD5-C61702FCE636}">
            <x14:iconSet custom="1">
              <x14:cfvo type="percent">
                <xm:f>0</xm:f>
              </x14:cfvo>
              <x14:cfvo type="formula">
                <xm:f>$E$15-$E$16-Flugzeugdaten!$Q$10</xm:f>
              </x14:cfvo>
              <x14:cfvo type="formula">
                <xm:f>$E$15-$E$16-Flugzeugdaten!$Q$9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4" id="{CD3A8041-2881-41CD-81A5-94814CA7C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E16</xm:sqref>
        </x14:conditionalFormatting>
        <x14:conditionalFormatting xmlns:xm="http://schemas.microsoft.com/office/excel/2006/main">
          <x14:cfRule type="iconSet" priority="3" id="{5CAB03A7-91A6-464C-B62E-BF38BEB750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D10:E10</xm:sqref>
        </x14:conditionalFormatting>
        <x14:conditionalFormatting xmlns:xm="http://schemas.microsoft.com/office/excel/2006/main">
          <x14:cfRule type="iconSet" priority="7" id="{E8A6CA9B-2003-4302-B048-DDD422F1E9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Flugzeugdaten!$G$6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E12</xm:sqref>
        </x14:conditionalFormatting>
        <x14:conditionalFormatting xmlns:xm="http://schemas.microsoft.com/office/excel/2006/main">
          <x14:cfRule type="iconSet" priority="2" id="{7ACBEE78-5990-428B-AC1A-D5AAA1C6737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1" id="{DE386E4B-92EC-4898-8908-6CEF7C0CB0F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E11</xm:sqref>
        </x14:conditionalFormatting>
        <x14:conditionalFormatting xmlns:xm="http://schemas.microsoft.com/office/excel/2006/main">
          <x14:cfRule type="iconSet" priority="24" id="{109C95A4-F0DD-43DD-A802-930FD32992A2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Flugzeugdaten!$H$10</xm:f>
              </x14:cfvo>
              <x14:cfIcon iconSet="NoIcons" iconId="0"/>
              <x14:cfIcon iconSet="NoIcons" iconId="0"/>
              <x14:cfIcon iconSet="3Symbols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26" id="{A6F58696-C2C8-4F88-9092-9F161B4791A2}">
            <x14:iconSet custom="1">
              <x14:cfvo type="percent">
                <xm:f>0</xm:f>
              </x14:cfvo>
              <x14:cfvo type="formula">
                <xm:f>Flugzeugdaten!$R$8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E23</xm:sqref>
        </x14:conditionalFormatting>
        <x14:conditionalFormatting xmlns:xm="http://schemas.microsoft.com/office/excel/2006/main">
          <x14:cfRule type="iconSet" priority="34" id="{EBCD120E-9CB9-48B8-BDE9-70749AC5640E}">
            <x14:iconSet custom="1">
              <x14:cfvo type="percent">
                <xm:f>0</xm:f>
              </x14:cfvo>
              <x14:cfvo type="formula">
                <xm:f>Flugzeugdaten!$R$6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E21</xm:sqref>
        </x14:conditionalFormatting>
        <x14:conditionalFormatting xmlns:xm="http://schemas.microsoft.com/office/excel/2006/main">
          <x14:cfRule type="iconSet" priority="35" id="{F8A27300-C290-47AA-9EEA-71875E624814}">
            <x14:iconSet custom="1">
              <x14:cfvo type="percent">
                <xm:f>0</xm:f>
              </x14:cfvo>
              <x14:cfvo type="formula">
                <xm:f>Flugzeugdaten!$R$7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E22</xm:sqref>
        </x14:conditionalFormatting>
        <x14:conditionalFormatting xmlns:xm="http://schemas.microsoft.com/office/excel/2006/main">
          <x14:cfRule type="iconSet" priority="38" id="{D64BFDFD-0E8A-4495-9145-267D83350995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Flugzeugdaten!$G$4</xm:f>
              </x14:cfvo>
              <x14:cfIcon iconSet="NoIcons" iconId="0"/>
              <x14:cfIcon iconSet="NoIcons" iconId="0"/>
              <x14:cfIcon iconSet="3Symbols" iconId="0"/>
            </x14:iconSet>
          </x14:cfRule>
          <xm:sqref>D21:D23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/>
  </sheetPr>
  <dimension ref="A1:I48"/>
  <sheetViews>
    <sheetView showGridLines="0" showRowColHeaders="0" showWhiteSpace="0" zoomScaleNormal="100" workbookViewId="0"/>
  </sheetViews>
  <sheetFormatPr baseColWidth="10" defaultColWidth="11.42578125" defaultRowHeight="15" x14ac:dyDescent="0.25"/>
  <cols>
    <col min="1" max="1" width="14.85546875" customWidth="1"/>
    <col min="2" max="2" width="19.28515625" customWidth="1"/>
    <col min="3" max="3" width="12.140625" customWidth="1"/>
    <col min="4" max="5" width="7.140625" customWidth="1"/>
    <col min="6" max="6" width="13" customWidth="1"/>
    <col min="7" max="7" width="13.7109375" customWidth="1"/>
  </cols>
  <sheetData>
    <row r="1" spans="1:9" ht="28.5" x14ac:dyDescent="0.3">
      <c r="A1" s="33" t="str">
        <f>Flugzeugdaten!$C$2</f>
        <v>D-ETIK</v>
      </c>
      <c r="B1" s="104" t="s">
        <v>15</v>
      </c>
      <c r="C1" s="104"/>
      <c r="D1" s="104"/>
      <c r="E1" s="104"/>
      <c r="F1" s="105" t="s">
        <v>16</v>
      </c>
      <c r="G1" s="105"/>
      <c r="H1" s="46"/>
      <c r="I1" s="46"/>
    </row>
    <row r="2" spans="1:9" ht="18.75" x14ac:dyDescent="0.3">
      <c r="A2" s="56" t="str">
        <f>Flugzeugdaten!$C$3</f>
        <v>PA28 Warrior</v>
      </c>
      <c r="C2" s="31"/>
      <c r="F2" s="106" t="str">
        <f>Flugzeugdaten!$A$4</f>
        <v>Wägedaten vom 15.01.2014</v>
      </c>
      <c r="G2" s="106"/>
      <c r="H2" s="46"/>
      <c r="I2" s="46"/>
    </row>
    <row r="4" spans="1:9" x14ac:dyDescent="0.25">
      <c r="A4" s="95" t="s">
        <v>0</v>
      </c>
      <c r="B4" s="96"/>
      <c r="C4" s="48" t="s">
        <v>2</v>
      </c>
      <c r="D4" s="99" t="str">
        <f>Dateneingabe!C5</f>
        <v>EDFZ</v>
      </c>
      <c r="E4" s="99"/>
      <c r="F4" s="47" t="s">
        <v>4</v>
      </c>
      <c r="G4" s="49" t="str">
        <f>Dateneingabe!E5</f>
        <v>EDFZ</v>
      </c>
    </row>
    <row r="5" spans="1:9" x14ac:dyDescent="0.25">
      <c r="A5" s="100" t="s">
        <v>6</v>
      </c>
      <c r="B5" s="101"/>
      <c r="C5" s="100">
        <f>Dateneingabe!B7</f>
        <v>0</v>
      </c>
      <c r="D5" s="99"/>
      <c r="E5" s="101"/>
      <c r="F5" s="26" t="s">
        <v>5</v>
      </c>
      <c r="G5" s="27">
        <f ca="1">Dateneingabe!B6</f>
        <v>44295</v>
      </c>
    </row>
    <row r="6" spans="1:9" x14ac:dyDescent="0.25">
      <c r="A6" s="94"/>
      <c r="B6" s="94"/>
    </row>
    <row r="7" spans="1:9" x14ac:dyDescent="0.25">
      <c r="A7" s="95" t="s">
        <v>17</v>
      </c>
      <c r="B7" s="96"/>
      <c r="C7" s="50" t="s">
        <v>18</v>
      </c>
      <c r="D7" s="102" t="s">
        <v>12</v>
      </c>
      <c r="E7" s="102"/>
      <c r="F7" s="50" t="s">
        <v>19</v>
      </c>
      <c r="G7" s="50" t="s">
        <v>20</v>
      </c>
    </row>
    <row r="8" spans="1:9" x14ac:dyDescent="0.25">
      <c r="A8" s="97" t="s">
        <v>21</v>
      </c>
      <c r="B8" s="98"/>
      <c r="C8" s="2"/>
      <c r="D8" s="93">
        <f>Flugzeugdaten!$A$6</f>
        <v>688.8</v>
      </c>
      <c r="E8" s="93"/>
      <c r="F8" s="51">
        <f>Flugzeugdaten!$B$6</f>
        <v>2.1458890824622534</v>
      </c>
      <c r="G8" s="52">
        <f>Flugzeugdaten!$C$6</f>
        <v>1478.0884000000001</v>
      </c>
    </row>
    <row r="9" spans="1:9" x14ac:dyDescent="0.25">
      <c r="A9" s="89" t="s">
        <v>64</v>
      </c>
      <c r="B9" s="90"/>
      <c r="C9" s="2"/>
      <c r="D9" s="57">
        <f>Dateneingabe!$D$10</f>
        <v>0</v>
      </c>
      <c r="E9" s="57">
        <f>Dateneingabe!$E$10</f>
        <v>0</v>
      </c>
      <c r="F9" s="51">
        <f>Flugzeugdaten!$E$3</f>
        <v>2.04</v>
      </c>
      <c r="G9" s="52">
        <f>(D9+E9)*F9</f>
        <v>0</v>
      </c>
    </row>
    <row r="10" spans="1:9" x14ac:dyDescent="0.25">
      <c r="A10" s="89" t="s">
        <v>61</v>
      </c>
      <c r="B10" s="90"/>
      <c r="C10" s="29"/>
      <c r="D10" s="57">
        <f>Dateneingabe!$D$11</f>
        <v>0</v>
      </c>
      <c r="E10" s="57">
        <f>Dateneingabe!$E$11</f>
        <v>0</v>
      </c>
      <c r="F10" s="51">
        <f>Flugzeugdaten!$E$4</f>
        <v>3</v>
      </c>
      <c r="G10" s="52">
        <f>(D10+E10)*F10</f>
        <v>0</v>
      </c>
    </row>
    <row r="11" spans="1:9" x14ac:dyDescent="0.25">
      <c r="A11" s="107" t="str">
        <f>"Gepäck (max. "&amp;TEXT(Flugzeugdaten!$G$6,"0")&amp;" kg)"</f>
        <v>Gepäck (max. 90 kg)</v>
      </c>
      <c r="B11" s="108"/>
      <c r="C11" s="29"/>
      <c r="D11" s="93">
        <f>Dateneingabe!$E$12</f>
        <v>0</v>
      </c>
      <c r="E11" s="93"/>
      <c r="F11" s="51">
        <f>Flugzeugdaten!$E$5</f>
        <v>3.63</v>
      </c>
      <c r="G11" s="52">
        <f>D11*F11</f>
        <v>0</v>
      </c>
    </row>
    <row r="12" spans="1:9" x14ac:dyDescent="0.25">
      <c r="A12" s="113" t="s">
        <v>22</v>
      </c>
      <c r="B12" s="114"/>
      <c r="C12" s="30"/>
      <c r="D12" s="92">
        <f>SUM(D8:E11)</f>
        <v>688.8</v>
      </c>
      <c r="E12" s="92"/>
      <c r="F12" s="54">
        <f>G12/D12</f>
        <v>2.1458890824622534</v>
      </c>
      <c r="G12" s="53">
        <f>SUM(G8:G11)</f>
        <v>1478.0884000000001</v>
      </c>
    </row>
    <row r="13" spans="1:9" x14ac:dyDescent="0.25">
      <c r="A13" s="107" t="str">
        <f>"Ausfliegbarer Treibstoff (max. "&amp;TEXT(Flugzeugdaten!$H$10,"0,0")&amp;" L)"</f>
        <v>Ausfliegbarer Treibstoff (max. 182,0 L)</v>
      </c>
      <c r="B13" s="108"/>
      <c r="C13" s="3">
        <f>Dateneingabe!$E$15</f>
        <v>0</v>
      </c>
      <c r="D13" s="93">
        <f>C13*Flugzeugdaten!$N$3</f>
        <v>0</v>
      </c>
      <c r="E13" s="93"/>
      <c r="F13" s="51">
        <f>Flugzeugdaten!$E$6</f>
        <v>2.41</v>
      </c>
      <c r="G13" s="52">
        <f>D13*F13</f>
        <v>0</v>
      </c>
    </row>
    <row r="14" spans="1:9" x14ac:dyDescent="0.25">
      <c r="A14" s="109" t="str">
        <f>"Rollmasse (max. "&amp;TEXT(Flugzeugdaten!$G$3, "0")&amp;" kg)"</f>
        <v>Rollmasse (max. 1110 kg)</v>
      </c>
      <c r="B14" s="110"/>
      <c r="C14" s="3"/>
      <c r="D14" s="92">
        <f>SUM(D12:D13)</f>
        <v>688.8</v>
      </c>
      <c r="E14" s="92"/>
      <c r="F14" s="54">
        <f>G14/D14</f>
        <v>2.1458890824622534</v>
      </c>
      <c r="G14" s="53">
        <f>SUM(G12:G13)</f>
        <v>1478.0884000000001</v>
      </c>
    </row>
    <row r="15" spans="1:9" x14ac:dyDescent="0.25">
      <c r="A15" s="107" t="s">
        <v>23</v>
      </c>
      <c r="B15" s="108"/>
      <c r="C15" s="3">
        <f>Dateneingabe!$E$16</f>
        <v>4.2</v>
      </c>
      <c r="D15" s="93">
        <f>-C15*Flugzeugdaten!$N$3</f>
        <v>-3.024</v>
      </c>
      <c r="E15" s="93"/>
      <c r="F15" s="51">
        <f>Flugzeugdaten!$E$6</f>
        <v>2.41</v>
      </c>
      <c r="G15" s="52">
        <f>D15*F15</f>
        <v>-7.2878400000000001</v>
      </c>
    </row>
    <row r="16" spans="1:9" x14ac:dyDescent="0.25">
      <c r="A16" s="109" t="str">
        <f>"Startmasse (max. "&amp;TEXT(Flugzeugdaten!$G$4, "0")&amp;" kg)"</f>
        <v>Startmasse (max. 1107 kg)</v>
      </c>
      <c r="B16" s="110"/>
      <c r="C16" s="3"/>
      <c r="D16" s="92">
        <f>SUM(D14:D15)</f>
        <v>685.77599999999995</v>
      </c>
      <c r="E16" s="92"/>
      <c r="F16" s="54">
        <f>G16/D16</f>
        <v>2.1447244581321017</v>
      </c>
      <c r="G16" s="53">
        <f>SUM(G14:G15)</f>
        <v>1470.8005600000001</v>
      </c>
    </row>
    <row r="17" spans="1:7" x14ac:dyDescent="0.25">
      <c r="A17" s="111" t="s">
        <v>24</v>
      </c>
      <c r="B17" s="112"/>
      <c r="C17" s="3">
        <f>Dateneingabe!$E$17</f>
        <v>0</v>
      </c>
      <c r="D17" s="93">
        <f>-C17*Flugzeugdaten!$N$3</f>
        <v>0</v>
      </c>
      <c r="E17" s="93"/>
      <c r="F17" s="51">
        <f>Flugzeugdaten!$E$6</f>
        <v>2.41</v>
      </c>
      <c r="G17" s="52">
        <f>D17*F17</f>
        <v>0</v>
      </c>
    </row>
    <row r="18" spans="1:7" x14ac:dyDescent="0.25">
      <c r="A18" s="109" t="str">
        <f>"Landemasse (max. "&amp;TEXT(Flugzeugdaten!$G$5, "0")&amp;" kg)"</f>
        <v>Landemasse (max. 1107 kg)</v>
      </c>
      <c r="B18" s="110"/>
      <c r="C18" s="3"/>
      <c r="D18" s="92">
        <f>SUM(D16:D17)</f>
        <v>685.77599999999995</v>
      </c>
      <c r="E18" s="92"/>
      <c r="F18" s="54">
        <f>G18/D18</f>
        <v>2.1447244581321017</v>
      </c>
      <c r="G18" s="53">
        <f>SUM(G16:G17)</f>
        <v>1470.8005600000001</v>
      </c>
    </row>
    <row r="19" spans="1:7" x14ac:dyDescent="0.25">
      <c r="A19" s="94"/>
      <c r="B19" s="94"/>
    </row>
    <row r="20" spans="1:7" x14ac:dyDescent="0.25">
      <c r="A20" s="95" t="s">
        <v>25</v>
      </c>
      <c r="B20" s="96"/>
      <c r="C20" s="91" t="s">
        <v>26</v>
      </c>
      <c r="D20" s="91"/>
      <c r="E20" s="91"/>
      <c r="F20" s="91"/>
      <c r="G20" s="91"/>
    </row>
    <row r="22" spans="1:7" x14ac:dyDescent="0.25">
      <c r="B22" s="32" t="s">
        <v>27</v>
      </c>
      <c r="G22" t="s">
        <v>28</v>
      </c>
    </row>
    <row r="48" spans="1:7" x14ac:dyDescent="0.25">
      <c r="A48" s="103" t="s">
        <v>29</v>
      </c>
      <c r="B48" s="103"/>
      <c r="C48" s="103"/>
      <c r="D48" s="103"/>
      <c r="E48" s="103"/>
      <c r="F48" s="103"/>
      <c r="G48" s="103"/>
    </row>
  </sheetData>
  <sheetProtection sheet="1" objects="1" scenarios="1"/>
  <mergeCells count="34">
    <mergeCell ref="A48:G48"/>
    <mergeCell ref="B1:E1"/>
    <mergeCell ref="F1:G1"/>
    <mergeCell ref="F2:G2"/>
    <mergeCell ref="A20:B20"/>
    <mergeCell ref="A15:B15"/>
    <mergeCell ref="A16:B16"/>
    <mergeCell ref="A17:B17"/>
    <mergeCell ref="A18:B18"/>
    <mergeCell ref="A19:B19"/>
    <mergeCell ref="A11:B11"/>
    <mergeCell ref="A12:B12"/>
    <mergeCell ref="A13:B13"/>
    <mergeCell ref="A14:B14"/>
    <mergeCell ref="A4:B4"/>
    <mergeCell ref="A5:B5"/>
    <mergeCell ref="A6:B6"/>
    <mergeCell ref="A7:B7"/>
    <mergeCell ref="A8:B8"/>
    <mergeCell ref="D4:E4"/>
    <mergeCell ref="C5:E5"/>
    <mergeCell ref="D7:E7"/>
    <mergeCell ref="D8:E8"/>
    <mergeCell ref="A9:B9"/>
    <mergeCell ref="A10:B10"/>
    <mergeCell ref="C20:G20"/>
    <mergeCell ref="D14:E14"/>
    <mergeCell ref="D15:E15"/>
    <mergeCell ref="D16:E16"/>
    <mergeCell ref="D17:E17"/>
    <mergeCell ref="D18:E18"/>
    <mergeCell ref="D11:E11"/>
    <mergeCell ref="D12:E12"/>
    <mergeCell ref="D13:E13"/>
  </mergeCells>
  <printOptions horizontalCentered="1"/>
  <pageMargins left="0.70866141732283472" right="0.31496062992125984" top="0.19685039370078741" bottom="0.74803149606299213" header="0" footer="0.31496062992125984"/>
  <pageSetup paperSize="11" scale="70" orientation="portrait" r:id="rId1"/>
  <headerFooter>
    <oddFooter>&amp;L&amp;D &amp;T&amp;C&amp;F&amp;RSeite &amp;P von &amp;N</oddFooter>
  </headerFooter>
  <ignoredErrors>
    <ignoredError sqref="G12 G14:G1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FD899BE-4866-48A0-84A7-37A0264A25B7}">
            <x14:iconSet custom="1">
              <x14:cfvo type="percent">
                <xm:f>0</xm:f>
              </x14:cfvo>
              <x14:cfvo type="formula" gte="0">
                <xm:f>$C$13-$C$15-Flugzeugdaten!$Q$10</xm:f>
              </x14:cfvo>
              <x14:cfvo type="formula">
                <xm:f>$C$13-$C$15-Flugzeugdaten!$Q$9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2" id="{3F7D7473-9AB6-4A47-9EE9-8CF7217884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C15</xm:sqref>
        </x14:conditionalFormatting>
        <x14:conditionalFormatting xmlns:xm="http://schemas.microsoft.com/office/excel/2006/main">
          <x14:cfRule type="iconSet" priority="4" id="{03818878-C9C8-4014-A2BC-05DA26CC65E0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Flugzeugdaten!$G$6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5" id="{CAC62E32-6CA5-4EC2-AF68-14D31AE1BF81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Flugzeugdaten!$G$4</xm:f>
              </x14:cfvo>
              <x14:cfIcon iconSet="NoIcons" iconId="0"/>
              <x14:cfIcon iconSet="NoIcons" iconId="0"/>
              <x14:cfIcon iconSet="3Symbols" iconId="0"/>
            </x14:iconSet>
          </x14:cfRule>
          <xm:sqref>D16</xm:sqref>
        </x14:conditionalFormatting>
        <x14:conditionalFormatting xmlns:xm="http://schemas.microsoft.com/office/excel/2006/main">
          <x14:cfRule type="iconSet" priority="1" id="{B0C9C601-E170-4AD7-BE23-1AE6D86E6EE4}">
            <x14:iconSet iconSet="3Symbols"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D14</xm:sqref>
        </x14:conditionalFormatting>
        <x14:conditionalFormatting xmlns:xm="http://schemas.microsoft.com/office/excel/2006/main">
          <x14:cfRule type="iconSet" priority="19" id="{18F2B3B5-A350-4078-99E9-E63299760057}">
            <x14:iconSet iconSet="3Symbols"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Flugzeugdaten!$G$5</xm:f>
              </x14:cfvo>
              <x14:cfIcon iconSet="NoIcons" iconId="0"/>
              <x14:cfIcon iconSet="NoIcons" iconId="0"/>
              <x14:cfIcon iconSet="3Symbols" iconId="0"/>
            </x14:iconSet>
          </x14:cfRule>
          <xm:sqref>D18 D12</xm:sqref>
        </x14:conditionalFormatting>
        <x14:conditionalFormatting xmlns:xm="http://schemas.microsoft.com/office/excel/2006/main">
          <x14:cfRule type="iconSet" priority="30" id="{0ABEB0B5-4115-4290-AB35-9052249C502A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Flugzeugdaten!$H$10</xm:f>
              </x14:cfvo>
              <x14:cfIcon iconSet="NoIcons" iconId="0"/>
              <x14:cfIcon iconSet="NoIcons" iconId="0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33" id="{1AA49C80-2B0E-46C5-B73A-7E5A72333A3F}">
            <x14:iconSet custom="1">
              <x14:cfvo type="percent">
                <xm:f>0</xm:f>
              </x14:cfvo>
              <x14:cfvo type="formula">
                <xm:f>Flugzeugdaten!$R$6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F16</xm:sqref>
        </x14:conditionalFormatting>
        <x14:conditionalFormatting xmlns:xm="http://schemas.microsoft.com/office/excel/2006/main">
          <x14:cfRule type="iconSet" priority="36" id="{1D7AC7D7-48A8-4353-91AF-E8DCCE289704}">
            <x14:iconSet custom="1">
              <x14:cfvo type="percent">
                <xm:f>0</xm:f>
              </x14:cfvo>
              <x14:cfvo type="formula">
                <xm:f>Flugzeugdaten!$R$7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F18</xm:sqref>
        </x14:conditionalFormatting>
        <x14:conditionalFormatting xmlns:xm="http://schemas.microsoft.com/office/excel/2006/main">
          <x14:cfRule type="iconSet" priority="37" id="{60565B54-32E8-4AED-8DCB-6852723252D4}">
            <x14:iconSet custom="1">
              <x14:cfvo type="percent">
                <xm:f>0</xm:f>
              </x14:cfvo>
              <x14:cfvo type="formula">
                <xm:f>Flugzeugdaten!$R$8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S18"/>
  <sheetViews>
    <sheetView workbookViewId="0">
      <selection activeCell="A5" sqref="A5"/>
    </sheetView>
  </sheetViews>
  <sheetFormatPr baseColWidth="10" defaultColWidth="11.42578125" defaultRowHeight="15" x14ac:dyDescent="0.25"/>
  <cols>
    <col min="2" max="2" width="14" customWidth="1"/>
    <col min="3" max="3" width="17.85546875" style="5" customWidth="1"/>
    <col min="4" max="4" width="25.7109375" customWidth="1"/>
    <col min="5" max="5" width="11.42578125" style="4"/>
    <col min="6" max="6" width="36.7109375" style="6" customWidth="1"/>
    <col min="7" max="8" width="7.28515625" style="10" customWidth="1"/>
    <col min="9" max="9" width="12.7109375" style="4" customWidth="1"/>
    <col min="10" max="10" width="11.42578125" style="11"/>
    <col min="11" max="11" width="13.5703125" style="4" customWidth="1"/>
    <col min="12" max="12" width="14.28515625" style="4" customWidth="1"/>
    <col min="13" max="13" width="10.7109375" style="6" customWidth="1"/>
    <col min="14" max="14" width="11.42578125" style="4"/>
    <col min="15" max="15" width="23.28515625" style="6" customWidth="1"/>
    <col min="18" max="18" width="11.42578125" style="5"/>
  </cols>
  <sheetData>
    <row r="1" spans="1:19" x14ac:dyDescent="0.25">
      <c r="A1" s="117" t="s">
        <v>30</v>
      </c>
      <c r="B1" s="117"/>
      <c r="C1" s="118"/>
      <c r="D1" s="115" t="s">
        <v>63</v>
      </c>
      <c r="E1" s="76"/>
      <c r="F1" s="115" t="s">
        <v>31</v>
      </c>
      <c r="G1" s="76"/>
      <c r="H1" s="76"/>
      <c r="I1" s="116"/>
      <c r="J1" s="115" t="s">
        <v>32</v>
      </c>
      <c r="K1" s="76"/>
      <c r="L1" s="76"/>
      <c r="M1" s="115" t="s">
        <v>33</v>
      </c>
      <c r="N1" s="116"/>
      <c r="O1" s="76" t="s">
        <v>34</v>
      </c>
      <c r="P1" s="76"/>
      <c r="Q1" s="76"/>
      <c r="R1" s="116"/>
    </row>
    <row r="2" spans="1:19" x14ac:dyDescent="0.25">
      <c r="A2" s="119" t="s">
        <v>35</v>
      </c>
      <c r="B2" s="119"/>
      <c r="C2" s="5" t="s">
        <v>58</v>
      </c>
      <c r="D2" s="7" t="s">
        <v>36</v>
      </c>
      <c r="E2" s="22" t="s">
        <v>37</v>
      </c>
      <c r="F2" s="8" t="s">
        <v>38</v>
      </c>
      <c r="G2" s="20" t="s">
        <v>8</v>
      </c>
      <c r="H2" s="20" t="s">
        <v>10</v>
      </c>
      <c r="I2" s="21" t="s">
        <v>39</v>
      </c>
      <c r="J2" s="23" t="s">
        <v>12</v>
      </c>
      <c r="K2" s="22" t="s">
        <v>19</v>
      </c>
      <c r="L2" s="22" t="s">
        <v>20</v>
      </c>
      <c r="M2" s="8" t="s">
        <v>40</v>
      </c>
      <c r="N2" s="21" t="s">
        <v>41</v>
      </c>
      <c r="O2" s="8" t="s">
        <v>42</v>
      </c>
      <c r="P2" s="18" t="s">
        <v>8</v>
      </c>
      <c r="Q2" s="18" t="s">
        <v>10</v>
      </c>
      <c r="R2" s="19" t="s">
        <v>37</v>
      </c>
    </row>
    <row r="3" spans="1:19" x14ac:dyDescent="0.25">
      <c r="A3" s="120" t="s">
        <v>43</v>
      </c>
      <c r="B3" s="120"/>
      <c r="C3" s="34" t="s">
        <v>59</v>
      </c>
      <c r="D3" t="s">
        <v>60</v>
      </c>
      <c r="E3" s="4">
        <v>2.04</v>
      </c>
      <c r="F3" s="6" t="s">
        <v>62</v>
      </c>
      <c r="G3" s="10">
        <v>1110</v>
      </c>
      <c r="J3" s="11">
        <f>G4</f>
        <v>1107</v>
      </c>
      <c r="K3" s="4">
        <f>I9</f>
        <v>2.36</v>
      </c>
      <c r="L3" s="4">
        <f>J3*K3</f>
        <v>2612.52</v>
      </c>
      <c r="M3" s="6" t="s">
        <v>45</v>
      </c>
      <c r="N3" s="4">
        <v>0.72</v>
      </c>
      <c r="O3" s="6" t="s">
        <v>46</v>
      </c>
      <c r="P3" s="10">
        <v>600</v>
      </c>
      <c r="Q3" s="10"/>
      <c r="R3" s="17"/>
    </row>
    <row r="4" spans="1:19" x14ac:dyDescent="0.25">
      <c r="A4" s="76" t="s">
        <v>68</v>
      </c>
      <c r="B4" s="76"/>
      <c r="C4" s="116"/>
      <c r="D4" t="s">
        <v>61</v>
      </c>
      <c r="E4" s="4">
        <v>3</v>
      </c>
      <c r="F4" s="6" t="s">
        <v>44</v>
      </c>
      <c r="G4" s="10">
        <v>1107</v>
      </c>
      <c r="J4" s="11">
        <f>P3</f>
        <v>600</v>
      </c>
      <c r="K4" s="4">
        <f>K3</f>
        <v>2.36</v>
      </c>
      <c r="L4" s="4">
        <f>J4*K4</f>
        <v>1416</v>
      </c>
      <c r="O4" s="6" t="s">
        <v>48</v>
      </c>
      <c r="P4" s="10">
        <v>600</v>
      </c>
      <c r="Q4" s="10"/>
      <c r="R4" s="17"/>
    </row>
    <row r="5" spans="1:19" x14ac:dyDescent="0.25">
      <c r="A5" s="18" t="s">
        <v>12</v>
      </c>
      <c r="B5" s="18" t="s">
        <v>19</v>
      </c>
      <c r="C5" s="19" t="s">
        <v>20</v>
      </c>
      <c r="D5" t="s">
        <v>49</v>
      </c>
      <c r="E5" s="4">
        <v>3.63</v>
      </c>
      <c r="F5" s="6" t="s">
        <v>47</v>
      </c>
      <c r="G5" s="10">
        <v>1107</v>
      </c>
      <c r="J5" s="11">
        <f>J4</f>
        <v>600</v>
      </c>
      <c r="K5" s="4">
        <f>I7</f>
        <v>2.11</v>
      </c>
      <c r="L5" s="4">
        <f>J5*K5</f>
        <v>1266</v>
      </c>
      <c r="O5" s="6" t="s">
        <v>51</v>
      </c>
      <c r="P5" s="10"/>
      <c r="Q5" s="10"/>
      <c r="R5" s="17">
        <v>2.09</v>
      </c>
    </row>
    <row r="6" spans="1:19" x14ac:dyDescent="0.25">
      <c r="A6" s="1">
        <v>688.8</v>
      </c>
      <c r="B6" s="58">
        <f>C6/A6</f>
        <v>2.1458890824622534</v>
      </c>
      <c r="C6" s="59">
        <v>1478.0884000000001</v>
      </c>
      <c r="D6" t="s">
        <v>52</v>
      </c>
      <c r="E6" s="4">
        <v>2.41</v>
      </c>
      <c r="F6" s="6" t="s">
        <v>50</v>
      </c>
      <c r="G6" s="10">
        <v>90</v>
      </c>
      <c r="J6" s="11">
        <f>G7</f>
        <v>885</v>
      </c>
      <c r="K6" s="4">
        <f>I7</f>
        <v>2.11</v>
      </c>
      <c r="L6" s="4">
        <f>J6*K6</f>
        <v>1867.35</v>
      </c>
      <c r="O6" s="6" t="s">
        <v>55</v>
      </c>
      <c r="P6" s="10" t="s">
        <v>67</v>
      </c>
      <c r="Q6" s="10"/>
      <c r="R6" s="17">
        <f>MAX($I$7,$I$7+(Druckansicht!$D$16-$G$7)*($I$8-$I$7)/($G$8-$G$7))</f>
        <v>2.11</v>
      </c>
      <c r="S6" t="str">
        <f>"=x1 + (x2-x1)/(m2-m1) * (m-m1)"</f>
        <v>=x1 + (x2-x1)/(m2-m1) * (m-m1)</v>
      </c>
    </row>
    <row r="7" spans="1:19" x14ac:dyDescent="0.25">
      <c r="F7" s="6" t="s">
        <v>66</v>
      </c>
      <c r="G7" s="10">
        <v>885</v>
      </c>
      <c r="I7" s="4">
        <v>2.11</v>
      </c>
      <c r="J7" s="11">
        <f>J3</f>
        <v>1107</v>
      </c>
      <c r="K7" s="4">
        <f>I8</f>
        <v>2.2400000000000002</v>
      </c>
      <c r="L7" s="4">
        <f>J7*K7</f>
        <v>2479.6800000000003</v>
      </c>
      <c r="O7" s="6" t="s">
        <v>56</v>
      </c>
      <c r="P7" s="10" t="s">
        <v>67</v>
      </c>
      <c r="Q7" s="10"/>
      <c r="R7" s="17">
        <f>MAX($I$7,$I$7+(Druckansicht!$D$18-$G$7)*($I$8-$I$7)/($G$8-$G$7))</f>
        <v>2.11</v>
      </c>
    </row>
    <row r="8" spans="1:19" x14ac:dyDescent="0.25">
      <c r="F8" s="6" t="s">
        <v>66</v>
      </c>
      <c r="G8" s="10">
        <v>1107</v>
      </c>
      <c r="I8" s="17">
        <v>2.2400000000000002</v>
      </c>
      <c r="J8" s="11">
        <f>J3</f>
        <v>1107</v>
      </c>
      <c r="K8" s="9">
        <f>K3</f>
        <v>2.36</v>
      </c>
      <c r="L8" s="9">
        <f>L3</f>
        <v>2612.52</v>
      </c>
      <c r="O8" s="6" t="s">
        <v>57</v>
      </c>
      <c r="P8" s="10" t="s">
        <v>67</v>
      </c>
      <c r="Q8" s="10"/>
      <c r="R8" s="17">
        <f>MAX($I$7,$I$7+(Druckansicht!$D$12-$G$7)*($I$8-$I$7)/($G$8-$G$7))</f>
        <v>2.11</v>
      </c>
    </row>
    <row r="9" spans="1:19" x14ac:dyDescent="0.25">
      <c r="F9" s="6" t="s">
        <v>65</v>
      </c>
      <c r="I9" s="17">
        <v>2.36</v>
      </c>
      <c r="O9" s="6" t="s">
        <v>53</v>
      </c>
      <c r="P9" s="10"/>
      <c r="Q9" s="2">
        <f>7.9*3.8*0.5</f>
        <v>15.01</v>
      </c>
      <c r="R9" s="17"/>
    </row>
    <row r="10" spans="1:19" x14ac:dyDescent="0.25">
      <c r="F10" s="6" t="s">
        <v>52</v>
      </c>
      <c r="H10" s="2">
        <v>182</v>
      </c>
      <c r="I10" s="17"/>
      <c r="O10" s="6" t="s">
        <v>54</v>
      </c>
      <c r="P10" s="10"/>
      <c r="Q10" s="10">
        <f>1.5*Q9</f>
        <v>22.515000000000001</v>
      </c>
      <c r="R10" s="17"/>
    </row>
    <row r="11" spans="1:19" x14ac:dyDescent="0.25">
      <c r="P11" s="10"/>
      <c r="Q11" s="10"/>
      <c r="R11" s="17"/>
    </row>
    <row r="12" spans="1:19" x14ac:dyDescent="0.25">
      <c r="R12" s="17"/>
    </row>
    <row r="18" spans="9:10" x14ac:dyDescent="0.25">
      <c r="I18" s="17"/>
      <c r="J18" s="10"/>
    </row>
  </sheetData>
  <sheetProtection sheet="1" objects="1" scenarios="1"/>
  <mergeCells count="9">
    <mergeCell ref="M1:N1"/>
    <mergeCell ref="O1:R1"/>
    <mergeCell ref="A4:C4"/>
    <mergeCell ref="D1:E1"/>
    <mergeCell ref="J1:L1"/>
    <mergeCell ref="F1:I1"/>
    <mergeCell ref="A1:C1"/>
    <mergeCell ref="A2:B2"/>
    <mergeCell ref="A3:B3"/>
  </mergeCells>
  <pageMargins left="0.7" right="0.7" top="0.78740157499999996" bottom="0.78740157499999996" header="0.3" footer="0.3"/>
  <pageSetup paperSize="9" orientation="portrait" horizontalDpi="0" verticalDpi="0" r:id="rId1"/>
  <ignoredErrors>
    <ignoredError sqref="K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Dateneingabe</vt:lpstr>
      <vt:lpstr>Druckansicht</vt:lpstr>
      <vt:lpstr>Flugzeugdaten</vt:lpstr>
      <vt:lpstr>Dateneingabe!Druckbereich</vt:lpstr>
      <vt:lpstr>Druckansicht!Druckbereich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Klitzke</dc:creator>
  <cp:keywords/>
  <dc:description/>
  <cp:lastModifiedBy>Jan Klitzke</cp:lastModifiedBy>
  <cp:revision/>
  <cp:lastPrinted>2021-03-15T22:42:00Z</cp:lastPrinted>
  <dcterms:created xsi:type="dcterms:W3CDTF">2021-02-05T21:44:30Z</dcterms:created>
  <dcterms:modified xsi:type="dcterms:W3CDTF">2021-04-09T16:32:44Z</dcterms:modified>
  <cp:category/>
  <cp:contentStatus/>
</cp:coreProperties>
</file>