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eneingabe" sheetId="1" state="visible" r:id="rId2"/>
    <sheet name="Druckansicht" sheetId="2" state="visible" r:id="rId3"/>
    <sheet name="Flugzeugdaten" sheetId="3" state="hidden" r:id="rId4"/>
  </sheets>
  <definedNames>
    <definedName function="false" hidden="false" localSheetId="0" name="_xlnm.Print_Area" vbProcedure="false">Dateneingabe!$A$25:$E$25</definedName>
    <definedName function="false" hidden="false" localSheetId="1" name="_xlnm.Print_Area" vbProcedure="false">Druckansicht!$A$1:$G$48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<sst xmlns="http://schemas.openxmlformats.org/spreadsheetml/2006/main" count="106" uniqueCount="76">
  <si>
    <t xml:space="preserve">Angaben zum Flug</t>
  </si>
  <si>
    <t xml:space="preserve">VORNE</t>
  </si>
  <si>
    <t xml:space="preserve">HINTEN</t>
  </si>
  <si>
    <t xml:space="preserve">Route</t>
  </si>
  <si>
    <t xml:space="preserve">von</t>
  </si>
  <si>
    <t xml:space="preserve">EDFZ</t>
  </si>
  <si>
    <t xml:space="preserve">nach</t>
  </si>
  <si>
    <t xml:space="preserve">Flugdatum</t>
  </si>
  <si>
    <t xml:space="preserve">PIC</t>
  </si>
  <si>
    <t xml:space="preserve">Beladung</t>
  </si>
  <si>
    <t xml:space="preserve">[kg]</t>
  </si>
  <si>
    <t xml:space="preserve">Pilot &amp; Passagier vorne</t>
  </si>
  <si>
    <t xml:space="preserve">Rücksitzinsassen</t>
  </si>
  <si>
    <t xml:space="preserve">Treibstoff</t>
  </si>
  <si>
    <t xml:space="preserve">[L]</t>
  </si>
  <si>
    <t xml:space="preserve">Flugmassen &amp; Schwerpunktslage</t>
  </si>
  <si>
    <t xml:space="preserve">Masse [kg]</t>
  </si>
  <si>
    <t xml:space="preserve">C.G. [m]</t>
  </si>
  <si>
    <t xml:space="preserve">Zum Drucken bitte unten das Blatt "Druckansicht" auswählen</t>
  </si>
  <si>
    <t xml:space="preserve">Masse &amp; Schwerpunkt Berechnung</t>
  </si>
  <si>
    <t xml:space="preserve">Luftfahrtverein Mainz e.V.</t>
  </si>
  <si>
    <t xml:space="preserve">Masse &amp; Schwerpunkt // Tabelle</t>
  </si>
  <si>
    <t xml:space="preserve">Treibstoff [L]</t>
  </si>
  <si>
    <t xml:space="preserve">Hebelarm [m]</t>
  </si>
  <si>
    <t xml:space="preserve">Moment [kgm]</t>
  </si>
  <si>
    <t xml:space="preserve">Leermasse</t>
  </si>
  <si>
    <t xml:space="preserve">Flugmasse ohne Treibstoff</t>
  </si>
  <si>
    <t xml:space="preserve">Rollmasse</t>
  </si>
  <si>
    <t xml:space="preserve">Treibstoff für Anlassen &amp; Rollen</t>
  </si>
  <si>
    <t xml:space="preserve">Treibstoff für Flugstrecke</t>
  </si>
  <si>
    <t xml:space="preserve">Masse &amp; Schwerpunkt // Diagramm</t>
  </si>
  <si>
    <t xml:space="preserve">Zulässiger Flugmassen-Schwerpunktbereich</t>
  </si>
  <si>
    <t xml:space="preserve">Kein Ersatz für die im Flughandbuch beschriebene Berechnung. Alle Angaben ohne Gewähr.</t>
  </si>
  <si>
    <t xml:space="preserve">Flugzeugdaten</t>
  </si>
  <si>
    <t xml:space="preserve">Hebelarme ab Bezugsebene</t>
  </si>
  <si>
    <t xml:space="preserve">Betriebsgrenzen</t>
  </si>
  <si>
    <t xml:space="preserve">Massen-/Momentengrenzen</t>
  </si>
  <si>
    <t xml:space="preserve">Umrechnungstabelle</t>
  </si>
  <si>
    <t xml:space="preserve">Diagrammformatierung</t>
  </si>
  <si>
    <t xml:space="preserve">Registrierung</t>
  </si>
  <si>
    <t xml:space="preserve">D-EUMZ</t>
  </si>
  <si>
    <t xml:space="preserve">Bezeichnung</t>
  </si>
  <si>
    <t xml:space="preserve">[m]</t>
  </si>
  <si>
    <t xml:space="preserve">Grenze</t>
  </si>
  <si>
    <t xml:space="preserve">[m] hinter BE</t>
  </si>
  <si>
    <t xml:space="preserve">Einheiten</t>
  </si>
  <si>
    <t xml:space="preserve">Faktor</t>
  </si>
  <si>
    <t xml:space="preserve">Label</t>
  </si>
  <si>
    <t xml:space="preserve">Typ</t>
  </si>
  <si>
    <t xml:space="preserve">Cirrus SR20 G2</t>
  </si>
  <si>
    <t xml:space="preserve">Vordersitzinsassen</t>
  </si>
  <si>
    <t xml:space="preserve">Höchstzulässige Startmasse</t>
  </si>
  <si>
    <t xml:space="preserve">kg/L</t>
  </si>
  <si>
    <t xml:space="preserve">untere Gewichtsgrenze</t>
  </si>
  <si>
    <t xml:space="preserve">Wägedaten vom 23.01.2018</t>
  </si>
  <si>
    <t xml:space="preserve">Höchstzulässige Landemasse</t>
  </si>
  <si>
    <t xml:space="preserve">kg/lb</t>
  </si>
  <si>
    <t xml:space="preserve">x-Achse</t>
  </si>
  <si>
    <t xml:space="preserve">Gepäck</t>
  </si>
  <si>
    <t xml:space="preserve">Höchszulässige Masse im Gepäckraum</t>
  </si>
  <si>
    <t xml:space="preserve">m/in</t>
  </si>
  <si>
    <t xml:space="preserve">y-Achse</t>
  </si>
  <si>
    <t xml:space="preserve">Ausfliegbarer Treibstoff</t>
  </si>
  <si>
    <t xml:space="preserve">fwd CG limit</t>
  </si>
  <si>
    <t xml:space="preserve">kgm/inlb</t>
  </si>
  <si>
    <t xml:space="preserve">30 min reserve</t>
  </si>
  <si>
    <t xml:space="preserve">L/USG</t>
  </si>
  <si>
    <t xml:space="preserve">45 min reserve</t>
  </si>
  <si>
    <t xml:space="preserve">dashed line MLAW</t>
  </si>
  <si>
    <t xml:space="preserve">aft CG limit</t>
  </si>
  <si>
    <t xml:space="preserve">CG</t>
  </si>
  <si>
    <t xml:space="preserve">fwd limit</t>
  </si>
  <si>
    <t xml:space="preserve">aft limit</t>
  </si>
  <si>
    <t xml:space="preserve">Start</t>
  </si>
  <si>
    <t xml:space="preserve">Landung</t>
  </si>
  <si>
    <t xml:space="preserve">ohne Treibstoff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</si>
</sst>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General"/>
    <numFmt numFmtId="166" formatCode="0\ %"/>
    <numFmt numFmtId="167" formatCode="dd/mm/yyyy"/>
    <numFmt numFmtId="168" formatCode="0.0"/>
    <numFmt numFmtId="169" formatCode="0.000"/>
    <numFmt numFmtId="170" formatCode="0"/>
    <numFmt numFmtId="171" formatCode="0.00"/>
    <numFmt numFmtId="172" formatCode="0.000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404040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E699"/>
        <bgColor rgb="FFFFCC99"/>
      </patternFill>
    </fill>
    <fill>
      <patternFill patternType="solid">
        <fgColor rgb="FFE7E6E6"/>
        <bgColor rgb="FFFFFFFF"/>
      </patternFill>
    </fill>
    <fill>
      <patternFill patternType="solid">
        <fgColor rgb="FFFFFFFF"/>
        <bgColor rgb="FFE7E6E6"/>
      </patternFill>
    </fill>
    <fill>
      <patternFill patternType="solid">
        <fgColor rgb="FFA5A5A5"/>
        <bgColor rgb="FF979797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3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6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0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A5A5A5"/>
      <rgbColor rgb="FF993366"/>
      <rgbColor rgb="FFE7E6E6"/>
      <rgbColor rgb="FFCCFFFF"/>
      <rgbColor rgb="FF660066"/>
      <rgbColor rgb="FFFF8080"/>
      <rgbColor rgb="FF0066CC"/>
      <rgbColor rgb="FFB4B4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36363"/>
      <rgbColor rgb="FF979797"/>
      <rgbColor rgb="FF003366"/>
      <rgbColor rgb="FF339966"/>
      <rgbColor rgb="FF003300"/>
      <rgbColor rgb="FF404040"/>
      <rgbColor rgb="FF993300"/>
      <rgbColor rgb="FF993366"/>
      <rgbColor rgb="FF595959"/>
      <rgbColor rgb="FF2929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49598867390278"/>
          <c:y val="0"/>
          <c:w val="0.850342142520057"/>
          <c:h val="0.872661013385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"boundary"</c:f>
              <c:strCache>
                <c:ptCount val="1"/>
                <c:pt idx="0">
                  <c:v>boundary</c:v>
                </c:pt>
              </c:strCache>
            </c:strRef>
          </c:tx>
          <c:spPr>
            <a:solidFill>
              <a:srgbClr val="636363"/>
            </a:solidFill>
            <a:ln cap="rnd" w="1908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Flugzeugdaten!$K$3:$K$10</c:f>
              <c:numCache>
                <c:formatCode>General</c:formatCode>
                <c:ptCount val="8"/>
                <c:pt idx="0">
                  <c:v>3.52298</c:v>
                </c:pt>
                <c:pt idx="1">
                  <c:v>3.5814</c:v>
                </c:pt>
                <c:pt idx="2">
                  <c:v>3.66014</c:v>
                </c:pt>
                <c:pt idx="3">
                  <c:v>3.7592</c:v>
                </c:pt>
                <c:pt idx="4">
                  <c:v>3.76174</c:v>
                </c:pt>
                <c:pt idx="5">
                  <c:v>3.74396</c:v>
                </c:pt>
                <c:pt idx="6">
                  <c:v>3.67284</c:v>
                </c:pt>
                <c:pt idx="7">
                  <c:v>3.52298</c:v>
                </c:pt>
              </c:numCache>
            </c:numRef>
          </c:xVal>
          <c:yVal>
            <c:numRef>
              <c:f>Flugzeugdaten!$J$3:$J$10</c:f>
              <c:numCache>
                <c:formatCode>General</c:formatCode>
                <c:ptCount val="8"/>
                <c:pt idx="0">
                  <c:v>957.07912</c:v>
                </c:pt>
                <c:pt idx="1">
                  <c:v>1221.976848</c:v>
                </c:pt>
                <c:pt idx="2">
                  <c:v>1360.776</c:v>
                </c:pt>
                <c:pt idx="3">
                  <c:v>1360.776</c:v>
                </c:pt>
                <c:pt idx="4">
                  <c:v>1315.4168</c:v>
                </c:pt>
                <c:pt idx="5">
                  <c:v>1165.73144</c:v>
                </c:pt>
                <c:pt idx="6">
                  <c:v>957.07912</c:v>
                </c:pt>
                <c:pt idx="7">
                  <c:v>957.07912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"x-Achse"</c:f>
              <c:strCache>
                <c:ptCount val="1"/>
                <c:pt idx="0">
                  <c:v>x-Achse</c:v>
                </c:pt>
              </c:strCache>
            </c:strRef>
          </c:tx>
          <c:spPr>
            <a:solidFill>
              <a:srgbClr val="b4b4b4"/>
            </a:solidFill>
            <a:ln w="19080">
              <a:noFill/>
            </a:ln>
          </c:spPr>
          <c:marker>
            <c:symbol val="triangle"/>
            <c:size val="8"/>
            <c:spPr>
              <a:solidFill>
                <a:srgbClr val="b4b4b4"/>
              </a:solidFill>
            </c:spPr>
          </c:marker>
          <c:dPt>
            <c:idx val="0"/>
            <c:marker>
              <c:symbol val="triangle"/>
              <c:size val="8"/>
              <c:spPr>
                <a:solidFill>
                  <a:srgbClr val="b4b4b4"/>
                </a:solidFill>
              </c:spPr>
            </c:marker>
          </c:dPt>
          <c:dLbls>
            <c:dLbl>
              <c:idx val="0"/>
              <c:layout>
                <c:manualLayout>
                  <c:x val="-0.0555487460619147"/>
                  <c:y val="0.0593242313563844"/>
                </c:manualLayout>
              </c:layout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b"/>
            <c:showLegendKey val="0"/>
            <c:showVal val="0"/>
            <c:showCatName val="1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Flugzeugdaten!$I$6:$I$12</c:f>
              <c:numCache>
                <c:formatCode>General</c:formatCode>
                <c:ptCount val="7"/>
                <c:pt idx="0">
                  <c:v>3.52298</c:v>
                </c:pt>
                <c:pt idx="1">
                  <c:v>3.5814</c:v>
                </c:pt>
                <c:pt idx="2">
                  <c:v>3.66014</c:v>
                </c:pt>
                <c:pt idx="3">
                  <c:v>3.67284</c:v>
                </c:pt>
                <c:pt idx="4">
                  <c:v>3.74396</c:v>
                </c:pt>
                <c:pt idx="5">
                  <c:v>3.76174</c:v>
                </c:pt>
                <c:pt idx="6">
                  <c:v>3.7592</c:v>
                </c:pt>
              </c:numCache>
            </c:numRef>
          </c:xVal>
          <c:yVal>
            <c:numRef>
              <c:f>Flugzeugdaten!$P$4,Flugzeugdaten!$P$4,Flugzeugdaten!$P$4,Flugzeugdaten!$P$4,Flugzeugdaten!$P$4,Flugzeugdaten!$P$4</c:f>
              <c:numCache>
                <c:formatCode>General</c:formatCode>
                <c:ptCount val="6"/>
                <c:pt idx="0">
                  <c:v>950</c:v>
                </c:pt>
                <c:pt idx="1">
                  <c:v>950</c:v>
                </c:pt>
                <c:pt idx="2">
                  <c:v>950</c:v>
                </c:pt>
                <c:pt idx="3">
                  <c:v>950</c:v>
                </c:pt>
                <c:pt idx="4">
                  <c:v>950</c:v>
                </c:pt>
                <c:pt idx="5">
                  <c:v>950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"y-Achse"</c:f>
              <c:strCache>
                <c:ptCount val="1"/>
                <c:pt idx="0">
                  <c:v>y-Achse</c:v>
                </c:pt>
              </c:strCache>
            </c:strRef>
          </c:tx>
          <c:spPr>
            <a:solidFill>
              <a:srgbClr val="8b8b8b"/>
            </a:solidFill>
            <a:ln w="19080">
              <a:noFill/>
            </a:ln>
          </c:spPr>
          <c:marker>
            <c:symbol val="dash"/>
            <c:size val="8"/>
            <c:spPr>
              <a:solidFill>
                <a:srgbClr val="8b8b8b"/>
              </a:solidFill>
            </c:spPr>
          </c:marker>
          <c:dLbls>
            <c:numFmt formatCode="0" sourceLinked="0"/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Flugzeugdaten!$R$5,Flugzeugdaten!$R$5,Flugzeugdaten!$R$5,Flugzeugdaten!$R$5,Flugzeugdaten!$R$5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xVal>
          <c:yVal>
            <c:numRef>
              <c:f>Flugzeugdaten!$J$4,Flugzeugdaten!$J$6,Flugzeugdaten!$J$7,Flugzeugdaten!$J$8,Flugzeugdaten!$J$9</c:f>
              <c:numCache>
                <c:formatCode>General</c:formatCode>
                <c:ptCount val="5"/>
                <c:pt idx="0">
                  <c:v>1221.976848</c:v>
                </c:pt>
                <c:pt idx="1">
                  <c:v>1360.776</c:v>
                </c:pt>
                <c:pt idx="2">
                  <c:v>1315.4168</c:v>
                </c:pt>
                <c:pt idx="3">
                  <c:v>1165.73144</c:v>
                </c:pt>
                <c:pt idx="4">
                  <c:v>957.07912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"aircraft"</c:f>
              <c:strCache>
                <c:ptCount val="1"/>
                <c:pt idx="0">
                  <c:v>aircraft</c:v>
                </c:pt>
              </c:strCache>
            </c:strRef>
          </c:tx>
          <c:spPr>
            <a:solidFill>
              <a:srgbClr val="292929"/>
            </a:solidFill>
            <a:ln cap="rnd" w="19080">
              <a:solidFill>
                <a:srgbClr val="292929"/>
              </a:solidFill>
              <a:round/>
            </a:ln>
          </c:spPr>
          <c:marker>
            <c:symbol val="circle"/>
            <c:size val="5"/>
            <c:spPr>
              <a:solidFill>
                <a:srgbClr val="292929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1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2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Lbls>
            <c:dLbl>
              <c:idx val="0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A8A232E3-63EF-4ACC-871F-FF4E44E9695C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2BF7A28D-5500-4E1D-ACD4-06E1C72C73B9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2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E986BEE7-90CB-4082-B796-DA18E446866B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Druckansicht!$F$16,Druckansicht!$F$18,Druckansicht!$F$12</c:f>
              <c:numCache>
                <c:formatCode>General</c:formatCode>
                <c:ptCount val="3"/>
                <c:pt idx="0">
                  <c:v>3.58685320441788</c:v>
                </c:pt>
                <c:pt idx="1">
                  <c:v>3.58685320441788</c:v>
                </c:pt>
                <c:pt idx="2">
                  <c:v>3.58775296313579</c:v>
                </c:pt>
              </c:numCache>
            </c:numRef>
          </c:xVal>
          <c:yVal>
            <c:numRef>
              <c:f>Druckansicht!$D$16,Druckansicht!$D$18,Druckansicht!$D$12</c:f>
              <c:numCache>
                <c:formatCode>General</c:formatCode>
                <c:ptCount val="3"/>
                <c:pt idx="0">
                  <c:v>969.311656</c:v>
                </c:pt>
                <c:pt idx="1">
                  <c:v>969.311656</c:v>
                </c:pt>
                <c:pt idx="2">
                  <c:v>972.047656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Flugzeugdaten!$O$12:$O$14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"max. Landemasse"</c:f>
              <c:strCache>
                <c:ptCount val="1"/>
                <c:pt idx="0">
                  <c:v>max. Landemasse</c:v>
                </c:pt>
              </c:strCache>
            </c:strRef>
          </c:tx>
          <c:spPr>
            <a:solidFill>
              <a:srgbClr val="979797"/>
            </a:solidFill>
            <a:ln w="19080">
              <a:solidFill>
                <a:srgbClr val="979797"/>
              </a:solidFill>
              <a:prstDash val="sysDash"/>
              <a:round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eparator>; </c:separator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1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Flugzeugdaten!$R$8:$R$9</c:f>
              <c:numCache>
                <c:formatCode>General</c:formatCode>
                <c:ptCount val="2"/>
                <c:pt idx="0">
                  <c:v>3.6342</c:v>
                </c:pt>
                <c:pt idx="1">
                  <c:v>3.76174</c:v>
                </c:pt>
              </c:numCache>
            </c:numRef>
          </c:xVal>
          <c:yVal>
            <c:numRef>
              <c:f>Flugzeugdaten!$P$8:$P$9</c:f>
              <c:numCache>
                <c:formatCode>General</c:formatCode>
                <c:ptCount val="2"/>
                <c:pt idx="0">
                  <c:v>1315.4168</c:v>
                </c:pt>
                <c:pt idx="1">
                  <c:v>1315.4168</c:v>
                </c:pt>
              </c:numCache>
            </c:numRef>
          </c:yVal>
          <c:smooth val="0"/>
        </c:ser>
        <c:axId val="81992728"/>
        <c:axId val="12755875"/>
      </c:scatterChart>
      <c:valAx>
        <c:axId val="81992728"/>
        <c:scaling>
          <c:orientation val="minMax"/>
          <c:min val="3.5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395528551203398"/>
              <c:y val="0.961735230219357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cross"/>
        <c:minorTickMark val="out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2755875"/>
        <c:crosses val="autoZero"/>
        <c:crossBetween val="midCat"/>
      </c:valAx>
      <c:valAx>
        <c:axId val="12755875"/>
        <c:scaling>
          <c:orientation val="minMax"/>
          <c:min val="950"/>
        </c:scaling>
        <c:delete val="0"/>
        <c:axPos val="l"/>
        <c:majorGridlines>
          <c:spPr>
            <a:ln cap="rnd"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Masse [kg]</a:t>
                </a:r>
              </a:p>
            </c:rich>
          </c:tx>
          <c:layout>
            <c:manualLayout>
              <c:xMode val="edge"/>
              <c:yMode val="edge"/>
              <c:x val="0.0201156205757433"/>
              <c:y val="0.523162099656598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1992728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noFill/>
    <a:ln w="936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49588586988694"/>
          <c:y val="0"/>
          <c:w val="0.850352216894572"/>
          <c:h val="0.872661013385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"boundary"</c:f>
              <c:strCache>
                <c:ptCount val="1"/>
                <c:pt idx="0">
                  <c:v>boundary</c:v>
                </c:pt>
              </c:strCache>
            </c:strRef>
          </c:tx>
          <c:spPr>
            <a:solidFill>
              <a:srgbClr val="636363"/>
            </a:solidFill>
            <a:ln cap="rnd" w="1908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Flugzeugdaten!$K$3:$K$10</c:f>
              <c:numCache>
                <c:formatCode>General</c:formatCode>
                <c:ptCount val="8"/>
                <c:pt idx="0">
                  <c:v>3.52298</c:v>
                </c:pt>
                <c:pt idx="1">
                  <c:v>3.5814</c:v>
                </c:pt>
                <c:pt idx="2">
                  <c:v>3.66014</c:v>
                </c:pt>
                <c:pt idx="3">
                  <c:v>3.7592</c:v>
                </c:pt>
                <c:pt idx="4">
                  <c:v>3.76174</c:v>
                </c:pt>
                <c:pt idx="5">
                  <c:v>3.74396</c:v>
                </c:pt>
                <c:pt idx="6">
                  <c:v>3.67284</c:v>
                </c:pt>
                <c:pt idx="7">
                  <c:v>3.52298</c:v>
                </c:pt>
              </c:numCache>
            </c:numRef>
          </c:xVal>
          <c:yVal>
            <c:numRef>
              <c:f>Flugzeugdaten!$J$3:$J$10</c:f>
              <c:numCache>
                <c:formatCode>General</c:formatCode>
                <c:ptCount val="8"/>
                <c:pt idx="0">
                  <c:v>957.07912</c:v>
                </c:pt>
                <c:pt idx="1">
                  <c:v>1221.976848</c:v>
                </c:pt>
                <c:pt idx="2">
                  <c:v>1360.776</c:v>
                </c:pt>
                <c:pt idx="3">
                  <c:v>1360.776</c:v>
                </c:pt>
                <c:pt idx="4">
                  <c:v>1315.4168</c:v>
                </c:pt>
                <c:pt idx="5">
                  <c:v>1165.73144</c:v>
                </c:pt>
                <c:pt idx="6">
                  <c:v>957.07912</c:v>
                </c:pt>
                <c:pt idx="7">
                  <c:v>957.07912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"x-Achse"</c:f>
              <c:strCache>
                <c:ptCount val="1"/>
                <c:pt idx="0">
                  <c:v>x-Achse</c:v>
                </c:pt>
              </c:strCache>
            </c:strRef>
          </c:tx>
          <c:spPr>
            <a:solidFill>
              <a:srgbClr val="b4b4b4"/>
            </a:solidFill>
            <a:ln w="19080">
              <a:noFill/>
            </a:ln>
          </c:spPr>
          <c:marker>
            <c:symbol val="triangle"/>
            <c:size val="8"/>
            <c:spPr>
              <a:solidFill>
                <a:srgbClr val="b4b4b4"/>
              </a:solidFill>
            </c:spPr>
          </c:marker>
          <c:dPt>
            <c:idx val="0"/>
            <c:marker>
              <c:symbol val="triangle"/>
              <c:size val="8"/>
              <c:spPr>
                <a:solidFill>
                  <a:srgbClr val="b4b4b4"/>
                </a:solidFill>
              </c:spPr>
            </c:marker>
          </c:dPt>
          <c:dLbls>
            <c:dLbl>
              <c:idx val="0"/>
              <c:layout>
                <c:manualLayout>
                  <c:x val="-0.0555487460619147"/>
                  <c:y val="0.0593242313563844"/>
                </c:manualLayout>
              </c:layout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b"/>
            <c:showLegendKey val="0"/>
            <c:showVal val="0"/>
            <c:showCatName val="1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Flugzeugdaten!$I$6:$I$12</c:f>
              <c:numCache>
                <c:formatCode>General</c:formatCode>
                <c:ptCount val="7"/>
                <c:pt idx="0">
                  <c:v>3.52298</c:v>
                </c:pt>
                <c:pt idx="1">
                  <c:v>3.5814</c:v>
                </c:pt>
                <c:pt idx="2">
                  <c:v>3.66014</c:v>
                </c:pt>
                <c:pt idx="3">
                  <c:v>3.67284</c:v>
                </c:pt>
                <c:pt idx="4">
                  <c:v>3.74396</c:v>
                </c:pt>
                <c:pt idx="5">
                  <c:v>3.76174</c:v>
                </c:pt>
                <c:pt idx="6">
                  <c:v>3.7592</c:v>
                </c:pt>
              </c:numCache>
            </c:numRef>
          </c:xVal>
          <c:yVal>
            <c:numRef>
              <c:f>Flugzeugdaten!$P$4,Flugzeugdaten!$P$4,Flugzeugdaten!$P$4,Flugzeugdaten!$P$4,Flugzeugdaten!$P$4,Flugzeugdaten!$P$4</c:f>
              <c:numCache>
                <c:formatCode>General</c:formatCode>
                <c:ptCount val="6"/>
                <c:pt idx="0">
                  <c:v>950</c:v>
                </c:pt>
                <c:pt idx="1">
                  <c:v>950</c:v>
                </c:pt>
                <c:pt idx="2">
                  <c:v>950</c:v>
                </c:pt>
                <c:pt idx="3">
                  <c:v>950</c:v>
                </c:pt>
                <c:pt idx="4">
                  <c:v>950</c:v>
                </c:pt>
                <c:pt idx="5">
                  <c:v>950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"y-Achse"</c:f>
              <c:strCache>
                <c:ptCount val="1"/>
                <c:pt idx="0">
                  <c:v>y-Achse</c:v>
                </c:pt>
              </c:strCache>
            </c:strRef>
          </c:tx>
          <c:spPr>
            <a:solidFill>
              <a:srgbClr val="8b8b8b"/>
            </a:solidFill>
            <a:ln w="19080">
              <a:noFill/>
            </a:ln>
          </c:spPr>
          <c:marker>
            <c:symbol val="dash"/>
            <c:size val="8"/>
            <c:spPr>
              <a:solidFill>
                <a:srgbClr val="8b8b8b"/>
              </a:solidFill>
            </c:spPr>
          </c:marker>
          <c:dLbls>
            <c:numFmt formatCode="0" sourceLinked="0"/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Flugzeugdaten!$R$5,Flugzeugdaten!$R$5,Flugzeugdaten!$R$5,Flugzeugdaten!$R$5,Flugzeugdaten!$R$5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xVal>
          <c:yVal>
            <c:numRef>
              <c:f>Flugzeugdaten!$J$4,Flugzeugdaten!$J$6,Flugzeugdaten!$J$7,Flugzeugdaten!$J$8,Flugzeugdaten!$J$9</c:f>
              <c:numCache>
                <c:formatCode>General</c:formatCode>
                <c:ptCount val="5"/>
                <c:pt idx="0">
                  <c:v>1221.976848</c:v>
                </c:pt>
                <c:pt idx="1">
                  <c:v>1360.776</c:v>
                </c:pt>
                <c:pt idx="2">
                  <c:v>1315.4168</c:v>
                </c:pt>
                <c:pt idx="3">
                  <c:v>1165.73144</c:v>
                </c:pt>
                <c:pt idx="4">
                  <c:v>957.07912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"aircraft"</c:f>
              <c:strCache>
                <c:ptCount val="1"/>
                <c:pt idx="0">
                  <c:v>aircraft</c:v>
                </c:pt>
              </c:strCache>
            </c:strRef>
          </c:tx>
          <c:spPr>
            <a:solidFill>
              <a:srgbClr val="292929"/>
            </a:solidFill>
            <a:ln cap="rnd" w="19080">
              <a:solidFill>
                <a:srgbClr val="292929"/>
              </a:solidFill>
              <a:round/>
            </a:ln>
          </c:spPr>
          <c:marker>
            <c:symbol val="circle"/>
            <c:size val="5"/>
            <c:spPr>
              <a:solidFill>
                <a:srgbClr val="292929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1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2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Lbls>
            <c:dLbl>
              <c:idx val="0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DEF6BF0A-0337-450E-9D35-18FF141865E0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7BD69BC8-054F-483D-943C-B1925D61CF1E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2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86B9CD2D-FE97-435B-9723-479592608A8A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Druckansicht!$F$16,Druckansicht!$F$18,Druckansicht!$F$12</c:f>
              <c:numCache>
                <c:formatCode>General</c:formatCode>
                <c:ptCount val="3"/>
                <c:pt idx="0">
                  <c:v>3.58685320441788</c:v>
                </c:pt>
                <c:pt idx="1">
                  <c:v>3.58685320441788</c:v>
                </c:pt>
                <c:pt idx="2">
                  <c:v>3.58775296313579</c:v>
                </c:pt>
              </c:numCache>
            </c:numRef>
          </c:xVal>
          <c:yVal>
            <c:numRef>
              <c:f>Druckansicht!$D$16,Druckansicht!$D$18,Druckansicht!$D$12</c:f>
              <c:numCache>
                <c:formatCode>General</c:formatCode>
                <c:ptCount val="3"/>
                <c:pt idx="0">
                  <c:v>969.311656</c:v>
                </c:pt>
                <c:pt idx="1">
                  <c:v>969.311656</c:v>
                </c:pt>
                <c:pt idx="2">
                  <c:v>972.047656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Flugzeugdaten!$O$12:$O$14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"max. Landemasse"</c:f>
              <c:strCache>
                <c:ptCount val="1"/>
                <c:pt idx="0">
                  <c:v>max. Landemasse</c:v>
                </c:pt>
              </c:strCache>
            </c:strRef>
          </c:tx>
          <c:spPr>
            <a:solidFill>
              <a:srgbClr val="979797"/>
            </a:solidFill>
            <a:ln w="19080">
              <a:solidFill>
                <a:srgbClr val="979797"/>
              </a:solidFill>
              <a:prstDash val="sysDash"/>
              <a:round/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Lbls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0"/>
            <c:showCatName val="0"/>
            <c:showSerName val="1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Flugzeugdaten!$R$8:$R$9</c:f>
              <c:numCache>
                <c:formatCode>General</c:formatCode>
                <c:ptCount val="2"/>
                <c:pt idx="0">
                  <c:v>3.6342</c:v>
                </c:pt>
                <c:pt idx="1">
                  <c:v>3.76174</c:v>
                </c:pt>
              </c:numCache>
            </c:numRef>
          </c:xVal>
          <c:yVal>
            <c:numRef>
              <c:f>Flugzeugdaten!$P$8:$P$9</c:f>
              <c:numCache>
                <c:formatCode>General</c:formatCode>
                <c:ptCount val="2"/>
                <c:pt idx="0">
                  <c:v>1315.4168</c:v>
                </c:pt>
                <c:pt idx="1">
                  <c:v>1315.4168</c:v>
                </c:pt>
              </c:numCache>
            </c:numRef>
          </c:yVal>
          <c:smooth val="0"/>
        </c:ser>
        <c:axId val="88902920"/>
        <c:axId val="63015430"/>
      </c:scatterChart>
      <c:valAx>
        <c:axId val="88902920"/>
        <c:scaling>
          <c:orientation val="minMax"/>
          <c:min val="3.5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395548452021547"/>
              <c:y val="0.961735230219357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cross"/>
        <c:minorTickMark val="out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3015430"/>
        <c:crosses val="autoZero"/>
        <c:crossBetween val="midCat"/>
      </c:valAx>
      <c:valAx>
        <c:axId val="63015430"/>
        <c:scaling>
          <c:orientation val="minMax"/>
          <c:min val="950"/>
        </c:scaling>
        <c:delete val="0"/>
        <c:axPos val="l"/>
        <c:majorGridlines>
          <c:spPr>
            <a:ln cap="rnd"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Masse [kg]</a:t>
                </a:r>
              </a:p>
            </c:rich>
          </c:tx>
          <c:layout>
            <c:manualLayout>
              <c:xMode val="edge"/>
              <c:yMode val="edge"/>
              <c:x val="0.0200674835730776"/>
              <c:y val="0.523162099656598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890292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noFill/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276120</xdr:colOff>
      <xdr:row>3</xdr:row>
      <xdr:rowOff>0</xdr:rowOff>
    </xdr:from>
    <xdr:to>
      <xdr:col>12</xdr:col>
      <xdr:colOff>742320</xdr:colOff>
      <xdr:row>25</xdr:row>
      <xdr:rowOff>88200</xdr:rowOff>
    </xdr:to>
    <xdr:graphicFrame>
      <xdr:nvGraphicFramePr>
        <xdr:cNvPr id="0" name="Diagramm 2"/>
        <xdr:cNvGraphicFramePr/>
      </xdr:nvGraphicFramePr>
      <xdr:xfrm>
        <a:off x="4615200" y="762120"/>
        <a:ext cx="6102360" cy="5136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20</xdr:row>
      <xdr:rowOff>6480</xdr:rowOff>
    </xdr:from>
    <xdr:to>
      <xdr:col>6</xdr:col>
      <xdr:colOff>904320</xdr:colOff>
      <xdr:row>46</xdr:row>
      <xdr:rowOff>190080</xdr:rowOff>
    </xdr:to>
    <xdr:graphicFrame>
      <xdr:nvGraphicFramePr>
        <xdr:cNvPr id="1" name="Diagramm 1"/>
        <xdr:cNvGraphicFramePr/>
      </xdr:nvGraphicFramePr>
      <xdr:xfrm>
        <a:off x="9360" y="4007160"/>
        <a:ext cx="6081120" cy="5136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42578125"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4" min="4" style="0" width="12"/>
  </cols>
  <sheetData>
    <row r="1" customFormat="false" ht="26.25" hidden="false" customHeight="false" outlineLevel="0" collapsed="false">
      <c r="A1" s="1" t="str">
        <f aca="false">Druckansicht!$A$1</f>
        <v>D-EUMZ</v>
      </c>
      <c r="B1" s="1"/>
      <c r="C1" s="1"/>
      <c r="D1" s="2" t="str">
        <f aca="false">Druckansicht!$B$1</f>
        <v>Masse &amp; Schwerpunkt Berechnung</v>
      </c>
      <c r="E1" s="2"/>
      <c r="F1" s="2"/>
      <c r="G1" s="2"/>
      <c r="H1" s="2"/>
      <c r="I1" s="2"/>
      <c r="J1" s="3" t="str">
        <f aca="false">Druckansicht!$F$1</f>
        <v>Luftfahrtverein Mainz e.V.</v>
      </c>
      <c r="K1" s="3"/>
      <c r="L1" s="3"/>
      <c r="M1" s="4"/>
      <c r="N1" s="4"/>
    </row>
    <row r="2" customFormat="false" ht="18.75" hidden="false" customHeight="true" outlineLevel="0" collapsed="false">
      <c r="A2" s="5" t="str">
        <f aca="false">Druckansicht!$A$2</f>
        <v>Cirrus SR20 G2</v>
      </c>
      <c r="B2" s="6" t="str">
        <f aca="false">Druckansicht!$A$48</f>
        <v>Kein Ersatz für die im Flughandbuch beschriebene Berechnung. Alle Angaben ohne Gewähr.</v>
      </c>
      <c r="C2" s="6"/>
      <c r="D2" s="6"/>
      <c r="E2" s="6"/>
      <c r="F2" s="6"/>
      <c r="G2" s="6"/>
      <c r="H2" s="6"/>
      <c r="I2" s="6"/>
      <c r="J2" s="3" t="str">
        <f aca="false">Druckansicht!$F$2</f>
        <v>Wägedaten vom 23.01.2018</v>
      </c>
      <c r="K2" s="3"/>
      <c r="L2" s="3"/>
      <c r="M2" s="4"/>
      <c r="N2" s="4"/>
    </row>
    <row r="3" customFormat="false" ht="15" hidden="false" customHeight="false" outlineLevel="0" collapsed="false">
      <c r="A3" s="7"/>
      <c r="B3" s="7"/>
      <c r="C3" s="7"/>
      <c r="D3" s="7"/>
      <c r="E3" s="7"/>
    </row>
    <row r="4" customFormat="false" ht="18.75" hidden="false" customHeight="false" outlineLevel="0" collapsed="false">
      <c r="A4" s="8" t="s">
        <v>0</v>
      </c>
      <c r="B4" s="8"/>
      <c r="C4" s="8"/>
      <c r="D4" s="8"/>
      <c r="E4" s="8"/>
      <c r="H4" s="0" t="s">
        <v>1</v>
      </c>
      <c r="L4" s="0" t="s">
        <v>2</v>
      </c>
    </row>
    <row r="5" customFormat="false" ht="18.75" hidden="false" customHeight="false" outlineLevel="0" collapsed="false">
      <c r="A5" s="9" t="s">
        <v>3</v>
      </c>
      <c r="B5" s="10" t="s">
        <v>4</v>
      </c>
      <c r="C5" s="11" t="s">
        <v>5</v>
      </c>
      <c r="D5" s="12" t="s">
        <v>6</v>
      </c>
      <c r="E5" s="13" t="s">
        <v>5</v>
      </c>
      <c r="F5" s="14"/>
    </row>
    <row r="6" customFormat="false" ht="18.75" hidden="false" customHeight="false" outlineLevel="0" collapsed="false">
      <c r="A6" s="15" t="s">
        <v>7</v>
      </c>
      <c r="B6" s="16" t="n">
        <f aca="true">TODAY()</f>
        <v>44930</v>
      </c>
      <c r="C6" s="16"/>
      <c r="D6" s="16"/>
      <c r="E6" s="16"/>
      <c r="F6" s="14"/>
    </row>
    <row r="7" customFormat="false" ht="18.75" hidden="false" customHeight="false" outlineLevel="0" collapsed="false">
      <c r="A7" s="17" t="s">
        <v>8</v>
      </c>
      <c r="B7" s="18"/>
      <c r="C7" s="18"/>
      <c r="D7" s="18"/>
      <c r="E7" s="18"/>
      <c r="F7" s="14"/>
    </row>
    <row r="8" customFormat="false" ht="15" hidden="false" customHeight="false" outlineLevel="0" collapsed="false">
      <c r="A8" s="7"/>
      <c r="B8" s="19"/>
    </row>
    <row r="9" customFormat="false" ht="18.75" hidden="false" customHeight="false" outlineLevel="0" collapsed="false">
      <c r="A9" s="20" t="s">
        <v>9</v>
      </c>
      <c r="B9" s="20"/>
      <c r="C9" s="20"/>
      <c r="D9" s="20"/>
      <c r="E9" s="21" t="s">
        <v>10</v>
      </c>
    </row>
    <row r="10" customFormat="false" ht="18.75" hidden="false" customHeight="false" outlineLevel="0" collapsed="false">
      <c r="A10" s="22" t="s">
        <v>11</v>
      </c>
      <c r="B10" s="22"/>
      <c r="C10" s="22"/>
      <c r="D10" s="23"/>
      <c r="E10" s="23"/>
    </row>
    <row r="11" customFormat="false" ht="18.75" hidden="false" customHeight="false" outlineLevel="0" collapsed="false">
      <c r="A11" s="24" t="s">
        <v>12</v>
      </c>
      <c r="B11" s="24"/>
      <c r="C11" s="24"/>
      <c r="D11" s="23"/>
      <c r="E11" s="23"/>
    </row>
    <row r="12" customFormat="false" ht="18.75" hidden="false" customHeight="false" outlineLevel="0" collapsed="false">
      <c r="A12" s="25" t="str">
        <f aca="false">Druckansicht!A11</f>
        <v>Gepäck (max. 59 kg)</v>
      </c>
      <c r="B12" s="25"/>
      <c r="C12" s="25"/>
      <c r="D12" s="26"/>
      <c r="E12" s="23"/>
    </row>
    <row r="13" customFormat="false" ht="18.75" hidden="false" customHeight="false" outlineLevel="0" collapsed="false">
      <c r="A13" s="27"/>
      <c r="B13" s="27"/>
      <c r="C13" s="28"/>
      <c r="D13" s="27"/>
      <c r="E13" s="27"/>
    </row>
    <row r="14" customFormat="false" ht="18.75" hidden="false" customHeight="false" outlineLevel="0" collapsed="false">
      <c r="A14" s="20" t="s">
        <v>13</v>
      </c>
      <c r="B14" s="20"/>
      <c r="C14" s="20"/>
      <c r="D14" s="20"/>
      <c r="E14" s="21" t="s">
        <v>14</v>
      </c>
    </row>
    <row r="15" customFormat="false" ht="18.75" hidden="false" customHeight="false" outlineLevel="0" collapsed="false">
      <c r="A15" s="29" t="str">
        <f aca="false">Druckansicht!A13</f>
        <v>Ausfliegbarer Treibstoff (max. 212 L)</v>
      </c>
      <c r="B15" s="29"/>
      <c r="C15" s="29"/>
      <c r="D15" s="29"/>
      <c r="E15" s="23"/>
    </row>
    <row r="16" customFormat="false" ht="18.75" hidden="false" customHeight="false" outlineLevel="0" collapsed="false">
      <c r="A16" s="30" t="str">
        <f aca="false">Druckansicht!A15</f>
        <v>Treibstoff für Anlassen &amp; Rollen</v>
      </c>
      <c r="B16" s="30"/>
      <c r="C16" s="30"/>
      <c r="D16" s="30"/>
      <c r="E16" s="23" t="n">
        <v>3.8</v>
      </c>
    </row>
    <row r="17" customFormat="false" ht="18.75" hidden="false" customHeight="false" outlineLevel="0" collapsed="false">
      <c r="A17" s="31" t="str">
        <f aca="false">Druckansicht!A17</f>
        <v>Treibstoff für Flugstrecke</v>
      </c>
      <c r="B17" s="31"/>
      <c r="C17" s="31"/>
      <c r="D17" s="31"/>
      <c r="E17" s="23"/>
    </row>
    <row r="19" customFormat="false" ht="18.75" hidden="false" customHeight="false" outlineLevel="0" collapsed="false">
      <c r="A19" s="8" t="s">
        <v>15</v>
      </c>
      <c r="B19" s="8"/>
      <c r="C19" s="8"/>
      <c r="D19" s="8"/>
      <c r="E19" s="8"/>
    </row>
    <row r="20" customFormat="false" ht="18.75" hidden="false" customHeight="false" outlineLevel="0" collapsed="false">
      <c r="A20" s="32"/>
      <c r="B20" s="32"/>
      <c r="C20" s="32"/>
      <c r="D20" s="33" t="s">
        <v>16</v>
      </c>
      <c r="E20" s="34" t="s">
        <v>17</v>
      </c>
    </row>
    <row r="21" customFormat="false" ht="18.75" hidden="false" customHeight="false" outlineLevel="0" collapsed="false">
      <c r="A21" s="35" t="str">
        <f aca="false">Druckansicht!A16</f>
        <v>Startmasse (max. 1361 kg)</v>
      </c>
      <c r="B21" s="35"/>
      <c r="C21" s="35"/>
      <c r="D21" s="36" t="n">
        <f aca="false">Druckansicht!D16</f>
        <v>969.311656</v>
      </c>
      <c r="E21" s="37" t="n">
        <f aca="false">Druckansicht!F16</f>
        <v>3.58685320441788</v>
      </c>
    </row>
    <row r="22" customFormat="false" ht="18.75" hidden="false" customHeight="false" outlineLevel="0" collapsed="false">
      <c r="A22" s="30" t="str">
        <f aca="false">Druckansicht!A18</f>
        <v>Landemasse (max. 1315 kg)</v>
      </c>
      <c r="B22" s="30"/>
      <c r="C22" s="30"/>
      <c r="D22" s="38" t="n">
        <f aca="false">Druckansicht!D18</f>
        <v>969.311656</v>
      </c>
      <c r="E22" s="39" t="n">
        <f aca="false">Druckansicht!F18</f>
        <v>3.58685320441788</v>
      </c>
    </row>
    <row r="23" customFormat="false" ht="18.75" hidden="false" customHeight="false" outlineLevel="0" collapsed="false">
      <c r="A23" s="29" t="str">
        <f aca="false">Druckansicht!A12</f>
        <v>Flugmasse ohne Treibstoff</v>
      </c>
      <c r="B23" s="29"/>
      <c r="C23" s="29"/>
      <c r="D23" s="40" t="n">
        <f aca="false">Druckansicht!D12</f>
        <v>972.047656</v>
      </c>
      <c r="E23" s="41" t="n">
        <f aca="false">Druckansicht!F12</f>
        <v>3.58775296313579</v>
      </c>
    </row>
    <row r="25" customFormat="false" ht="15" hidden="false" customHeight="false" outlineLevel="0" collapsed="false">
      <c r="A25" s="42" t="s">
        <v>18</v>
      </c>
      <c r="B25" s="42"/>
      <c r="C25" s="42"/>
      <c r="D25" s="42"/>
      <c r="E25" s="42"/>
    </row>
  </sheetData>
  <sheetProtection sheet="true" objects="true" scenarios="true" selectLockedCells="true"/>
  <mergeCells count="22">
    <mergeCell ref="A1:C1"/>
    <mergeCell ref="D1:I1"/>
    <mergeCell ref="J1:L1"/>
    <mergeCell ref="B2:I2"/>
    <mergeCell ref="J2:L2"/>
    <mergeCell ref="A4:E4"/>
    <mergeCell ref="B6:E6"/>
    <mergeCell ref="B7:E7"/>
    <mergeCell ref="A9:D9"/>
    <mergeCell ref="A10:C10"/>
    <mergeCell ref="A11:C11"/>
    <mergeCell ref="A12:C12"/>
    <mergeCell ref="A14:D14"/>
    <mergeCell ref="A15:D15"/>
    <mergeCell ref="A16:D16"/>
    <mergeCell ref="A17:D17"/>
    <mergeCell ref="A19:E19"/>
    <mergeCell ref="A20:C20"/>
    <mergeCell ref="A21:C21"/>
    <mergeCell ref="A22:C22"/>
    <mergeCell ref="A23:C23"/>
    <mergeCell ref="A25:E25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AD98E9B-5579-4352-B373-2966FDD5B536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E16</xm:sqref>
        </x14:conditionalFormatting>
        <x14:conditionalFormatting xmlns:xm="http://schemas.microsoft.com/office/excel/2006/main">
          <x14:cfRule type="iconSet" priority="3" id="{19D2E0B0-A026-44F8-B566-C86040BB6D62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D10:E10</xm:sqref>
        </x14:conditionalFormatting>
        <x14:conditionalFormatting xmlns:xm="http://schemas.microsoft.com/office/excel/2006/main">
          <x14:cfRule type="iconSet" priority="4" id="{9333D486-4D50-4474-8FA9-66E0BF9250A1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5" id="{C2A61D4A-F8AA-43ED-ADEC-51D393A0BDF6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E11</xm:sqref>
        </x14:conditionalFormatting>
        <x14:conditionalFormatting xmlns:xm="http://schemas.microsoft.com/office/excel/2006/main">
          <x14:cfRule type="iconSet" priority="6" id="{68408CF1-84F8-4226-B36B-7F9852103E3E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formula">
                <xm:f>Flugzeugdaten!$G$5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7" id="{A2F9BFD3-30C2-434A-8730-20D5BDDC5693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D21</xm:sqref>
        </x14:conditionalFormatting>
        <x14:conditionalFormatting xmlns:xm="http://schemas.microsoft.com/office/excel/2006/main">
          <x14:cfRule type="iconSet" priority="8" id="{31326F4D-BD71-42F1-ABF4-526261FDC827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Flugzeugdaten!$H$13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9" id="{40CCE1BC-8923-4C82-B6E4-E7C114B36F57}">
            <x14:iconSet iconSet="3TrafficLights1" custom="1" reverse="0" showValue="1">
              <x14:cfvo type="percent">
                <xm:f>0</xm:f>
              </x14:cfvo>
              <x14:cfvo type="formula">
                <xm:f>$E$15-$E$16-Flugzeugdaten!$Q$7</xm:f>
              </x14:cfvo>
              <x14:cfvo type="formula">
                <xm:f>$E$15-$E$16-Flugzeugdaten!$Q$6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10" id="{425F2C4A-2720-48CA-B81F-29BBD68FD559}">
            <x14:iconSet iconSet="3Symbols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Flugzeugdaten!$G$4</xm:f>
              </x14:cfvo>
              <x14:cfIcon iconSet="NoIcons" iconId="0"/>
              <x14:cfIcon iconSet="NoIcons" iconId="0"/>
              <x14:cfIcon iconSet="3Symbols" iconId="0"/>
            </x14:iconSet>
          </x14:cfRule>
          <xm:sqref>D22:D23</xm:sqref>
        </x14:conditionalFormatting>
        <x14:conditionalFormatting xmlns:xm="http://schemas.microsoft.com/office/excel/2006/main">
          <x14:cfRule type="iconSet" priority="11" id="{2F8238CD-844D-467B-BDC0-9E54D318E682}">
            <x14:iconSet iconSet="3TrafficLights1" custom="1" reverse="0" showValue="1">
              <x14:cfvo type="percent">
                <xm:f>0</xm:f>
              </x14:cfvo>
              <x14:cfvo type="formula">
                <xm:f>Flugzeugdaten!$Q$14</xm:f>
              </x14:cfvo>
              <x14:cfvo type="formula">
                <xm:f>Flugzeugdaten!$R$14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E23</xm:sqref>
        </x14:conditionalFormatting>
        <x14:conditionalFormatting xmlns:xm="http://schemas.microsoft.com/office/excel/2006/main">
          <x14:cfRule type="iconSet" priority="12" id="{8CDD243A-2C00-4AC4-88B0-8EC0E994162C}">
            <x14:iconSet iconSet="3TrafficLights1" custom="1" reverse="0" showValue="1">
              <x14:cfvo type="percent">
                <xm:f>0</xm:f>
              </x14:cfvo>
              <x14:cfvo type="formula">
                <xm:f>Flugzeugdaten!$Q$12</xm:f>
              </x14:cfvo>
              <x14:cfvo type="formula">
                <xm:f>Flugzeugdaten!$R$12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E21</xm:sqref>
        </x14:conditionalFormatting>
        <x14:conditionalFormatting xmlns:xm="http://schemas.microsoft.com/office/excel/2006/main">
          <x14:cfRule type="iconSet" priority="13" id="{3C3437A8-836A-428F-9B94-FA8D78D9755C}">
            <x14:iconSet iconSet="3TrafficLights1" custom="1" reverse="0" showValue="1">
              <x14:cfvo type="percent">
                <xm:f>0</xm:f>
              </x14:cfvo>
              <x14:cfvo type="formula">
                <xm:f>Flugzeugdaten!$Q$13</xm:f>
              </x14:cfvo>
              <x14:cfvo type="formula">
                <xm:f>Flugzeugdaten!$R$13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8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257812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9.29"/>
    <col collapsed="false" customWidth="true" hidden="false" outlineLevel="0" max="3" min="3" style="0" width="12.15"/>
    <col collapsed="false" customWidth="true" hidden="false" outlineLevel="0" max="5" min="4" style="0" width="7.15"/>
    <col collapsed="false" customWidth="true" hidden="false" outlineLevel="0" max="6" min="6" style="0" width="13"/>
    <col collapsed="false" customWidth="true" hidden="false" outlineLevel="0" max="7" min="7" style="0" width="13.71"/>
  </cols>
  <sheetData>
    <row r="1" customFormat="false" ht="26.25" hidden="false" customHeight="false" outlineLevel="0" collapsed="false">
      <c r="A1" s="43" t="str">
        <f aca="false">Flugzeugdaten!$C$2</f>
        <v>D-EUMZ</v>
      </c>
      <c r="B1" s="44" t="s">
        <v>19</v>
      </c>
      <c r="C1" s="44"/>
      <c r="D1" s="44"/>
      <c r="E1" s="44"/>
      <c r="F1" s="45" t="s">
        <v>20</v>
      </c>
      <c r="G1" s="45"/>
      <c r="H1" s="4"/>
      <c r="I1" s="4"/>
    </row>
    <row r="2" customFormat="false" ht="18.75" hidden="false" customHeight="false" outlineLevel="0" collapsed="false">
      <c r="A2" s="46" t="str">
        <f aca="false">Flugzeugdaten!$C$3</f>
        <v>Cirrus SR20 G2</v>
      </c>
      <c r="C2" s="47"/>
      <c r="F2" s="48" t="str">
        <f aca="false">Flugzeugdaten!$A$4</f>
        <v>Wägedaten vom 23.01.2018</v>
      </c>
      <c r="G2" s="48"/>
      <c r="H2" s="4"/>
      <c r="I2" s="4"/>
    </row>
    <row r="4" customFormat="false" ht="15" hidden="false" customHeight="false" outlineLevel="0" collapsed="false">
      <c r="A4" s="49" t="s">
        <v>0</v>
      </c>
      <c r="B4" s="49"/>
      <c r="C4" s="50" t="s">
        <v>4</v>
      </c>
      <c r="D4" s="51" t="str">
        <f aca="false">Dateneingabe!C5</f>
        <v>EDFZ</v>
      </c>
      <c r="E4" s="51"/>
      <c r="F4" s="52" t="s">
        <v>6</v>
      </c>
      <c r="G4" s="53" t="str">
        <f aca="false">Dateneingabe!E5</f>
        <v>EDFZ</v>
      </c>
    </row>
    <row r="5" customFormat="false" ht="15" hidden="false" customHeight="false" outlineLevel="0" collapsed="false">
      <c r="A5" s="54" t="s">
        <v>8</v>
      </c>
      <c r="B5" s="54"/>
      <c r="C5" s="55" t="n">
        <f aca="false">Dateneingabe!B7</f>
        <v>0</v>
      </c>
      <c r="D5" s="55"/>
      <c r="E5" s="55"/>
      <c r="F5" s="56" t="s">
        <v>7</v>
      </c>
      <c r="G5" s="57" t="n">
        <f aca="false">Dateneingabe!B6</f>
        <v>44930</v>
      </c>
    </row>
    <row r="6" customFormat="false" ht="15" hidden="false" customHeight="false" outlineLevel="0" collapsed="false">
      <c r="A6" s="58"/>
      <c r="B6" s="58"/>
    </row>
    <row r="7" customFormat="false" ht="15" hidden="false" customHeight="false" outlineLevel="0" collapsed="false">
      <c r="A7" s="49" t="s">
        <v>21</v>
      </c>
      <c r="B7" s="49"/>
      <c r="C7" s="59" t="s">
        <v>22</v>
      </c>
      <c r="D7" s="59" t="s">
        <v>16</v>
      </c>
      <c r="E7" s="59"/>
      <c r="F7" s="59" t="s">
        <v>23</v>
      </c>
      <c r="G7" s="59" t="s">
        <v>24</v>
      </c>
    </row>
    <row r="8" customFormat="false" ht="15" hidden="false" customHeight="false" outlineLevel="0" collapsed="false">
      <c r="A8" s="60" t="s">
        <v>25</v>
      </c>
      <c r="B8" s="60"/>
      <c r="C8" s="61"/>
      <c r="D8" s="62" t="n">
        <f aca="false">Flugzeugdaten!$A$6</f>
        <v>972.047656</v>
      </c>
      <c r="E8" s="62"/>
      <c r="F8" s="63" t="n">
        <f aca="false">Flugzeugdaten!$B$6</f>
        <v>3.58775296313579</v>
      </c>
      <c r="G8" s="64" t="n">
        <f aca="false">Flugzeugdaten!$C$6</f>
        <v>3487.4668581232</v>
      </c>
    </row>
    <row r="9" customFormat="false" ht="15" hidden="false" customHeight="false" outlineLevel="0" collapsed="false">
      <c r="A9" s="65" t="s">
        <v>11</v>
      </c>
      <c r="B9" s="65"/>
      <c r="C9" s="61"/>
      <c r="D9" s="66" t="n">
        <f aca="false">Dateneingabe!$D$10</f>
        <v>0</v>
      </c>
      <c r="E9" s="66" t="n">
        <f aca="false">Dateneingabe!$E$10</f>
        <v>0</v>
      </c>
      <c r="F9" s="63" t="n">
        <f aca="false">Flugzeugdaten!$E$3</f>
        <v>3.6449</v>
      </c>
      <c r="G9" s="64" t="n">
        <f aca="false">(D9+E9)*F9</f>
        <v>0</v>
      </c>
    </row>
    <row r="10" customFormat="false" ht="15" hidden="false" customHeight="false" outlineLevel="0" collapsed="false">
      <c r="A10" s="65" t="s">
        <v>12</v>
      </c>
      <c r="B10" s="65"/>
      <c r="C10" s="67"/>
      <c r="D10" s="66" t="n">
        <f aca="false">Dateneingabe!$D$11</f>
        <v>0</v>
      </c>
      <c r="E10" s="66" t="n">
        <f aca="false">Dateneingabe!$E$11</f>
        <v>0</v>
      </c>
      <c r="F10" s="63" t="n">
        <f aca="false">Flugzeugdaten!$E$4</f>
        <v>4.572</v>
      </c>
      <c r="G10" s="64" t="n">
        <f aca="false">(D10+E10)*F10</f>
        <v>0</v>
      </c>
    </row>
    <row r="11" customFormat="false" ht="15" hidden="false" customHeight="false" outlineLevel="0" collapsed="false">
      <c r="A11" s="65" t="str">
        <f aca="false">"Gepäck (max. "&amp;TEXT(Flugzeugdaten!$G$5,"0")&amp;" kg)"</f>
        <v>Gepäck (max. 59 kg)</v>
      </c>
      <c r="B11" s="65"/>
      <c r="C11" s="67"/>
      <c r="D11" s="62" t="n">
        <f aca="false">Dateneingabe!$E$12</f>
        <v>0</v>
      </c>
      <c r="E11" s="62"/>
      <c r="F11" s="63" t="n">
        <f aca="false">Flugzeugdaten!$E$5</f>
        <v>5.2832</v>
      </c>
      <c r="G11" s="64" t="n">
        <f aca="false">D11*F11</f>
        <v>0</v>
      </c>
    </row>
    <row r="12" customFormat="false" ht="15" hidden="false" customHeight="false" outlineLevel="0" collapsed="false">
      <c r="A12" s="68" t="s">
        <v>26</v>
      </c>
      <c r="B12" s="68"/>
      <c r="C12" s="69"/>
      <c r="D12" s="70" t="n">
        <f aca="false">SUM(D8:E11)</f>
        <v>972.047656</v>
      </c>
      <c r="E12" s="70"/>
      <c r="F12" s="71" t="n">
        <f aca="false">G12/D12</f>
        <v>3.58775296313579</v>
      </c>
      <c r="G12" s="72" t="n">
        <f aca="false">SUM(G8:G11)</f>
        <v>3487.4668581232</v>
      </c>
    </row>
    <row r="13" customFormat="false" ht="15" hidden="false" customHeight="false" outlineLevel="0" collapsed="false">
      <c r="A13" s="65" t="str">
        <f aca="false">"Ausfliegbarer Treibstoff (max. "&amp;TEXT(Flugzeugdaten!$H$13,"0")&amp;" L)"</f>
        <v>Ausfliegbarer Treibstoff (max. 212 L)</v>
      </c>
      <c r="B13" s="65"/>
      <c r="C13" s="66" t="n">
        <f aca="false">Dateneingabe!$E$15</f>
        <v>0</v>
      </c>
      <c r="D13" s="62" t="n">
        <f aca="false">C13*Flugzeugdaten!$N$3</f>
        <v>0</v>
      </c>
      <c r="E13" s="62"/>
      <c r="F13" s="63" t="n">
        <f aca="false">Flugzeugdaten!$E$6</f>
        <v>3.90652</v>
      </c>
      <c r="G13" s="64" t="n">
        <f aca="false">D13*F13</f>
        <v>0</v>
      </c>
    </row>
    <row r="14" customFormat="false" ht="15" hidden="false" customHeight="false" outlineLevel="0" collapsed="false">
      <c r="A14" s="73" t="s">
        <v>27</v>
      </c>
      <c r="B14" s="73"/>
      <c r="C14" s="66"/>
      <c r="D14" s="70" t="n">
        <f aca="false">SUM(D12:D13)</f>
        <v>972.047656</v>
      </c>
      <c r="E14" s="70"/>
      <c r="F14" s="71" t="n">
        <f aca="false">G14/D14</f>
        <v>3.58775296313579</v>
      </c>
      <c r="G14" s="72" t="n">
        <f aca="false">SUM(G12:G13)</f>
        <v>3487.4668581232</v>
      </c>
    </row>
    <row r="15" customFormat="false" ht="15" hidden="false" customHeight="false" outlineLevel="0" collapsed="false">
      <c r="A15" s="65" t="s">
        <v>28</v>
      </c>
      <c r="B15" s="65"/>
      <c r="C15" s="66" t="n">
        <f aca="false">Dateneingabe!$E$16</f>
        <v>3.8</v>
      </c>
      <c r="D15" s="62" t="n">
        <f aca="false">-C15*Flugzeugdaten!$N$3</f>
        <v>-2.736</v>
      </c>
      <c r="E15" s="62"/>
      <c r="F15" s="63" t="n">
        <f aca="false">Flugzeugdaten!$E$6</f>
        <v>3.90652</v>
      </c>
      <c r="G15" s="64" t="n">
        <f aca="false">D15*F15</f>
        <v>-10.68823872</v>
      </c>
    </row>
    <row r="16" customFormat="false" ht="15" hidden="false" customHeight="false" outlineLevel="0" collapsed="false">
      <c r="A16" s="73" t="str">
        <f aca="false">"Startmasse (max. "&amp;TEXT(Flugzeugdaten!$G$3, "0")&amp;" kg)"</f>
        <v>Startmasse (max. 1361 kg)</v>
      </c>
      <c r="B16" s="73"/>
      <c r="C16" s="66"/>
      <c r="D16" s="70" t="n">
        <f aca="false">SUM(D14:D15)</f>
        <v>969.311656</v>
      </c>
      <c r="E16" s="70"/>
      <c r="F16" s="71" t="n">
        <f aca="false">G16/D16</f>
        <v>3.58685320441788</v>
      </c>
      <c r="G16" s="72" t="n">
        <f aca="false">SUM(G14:G15)</f>
        <v>3476.7786194032</v>
      </c>
    </row>
    <row r="17" customFormat="false" ht="15" hidden="false" customHeight="false" outlineLevel="0" collapsed="false">
      <c r="A17" s="74" t="s">
        <v>29</v>
      </c>
      <c r="B17" s="74"/>
      <c r="C17" s="66" t="n">
        <f aca="false">Dateneingabe!$E$17</f>
        <v>0</v>
      </c>
      <c r="D17" s="62" t="n">
        <f aca="false">-C17*Flugzeugdaten!$N$3</f>
        <v>0</v>
      </c>
      <c r="E17" s="62"/>
      <c r="F17" s="63" t="n">
        <f aca="false">Flugzeugdaten!$E$6</f>
        <v>3.90652</v>
      </c>
      <c r="G17" s="64" t="n">
        <f aca="false">D17*F17</f>
        <v>0</v>
      </c>
    </row>
    <row r="18" customFormat="false" ht="15" hidden="false" customHeight="false" outlineLevel="0" collapsed="false">
      <c r="A18" s="73" t="str">
        <f aca="false">"Landemasse (max. "&amp;TEXT(Flugzeugdaten!$G$4, "0")&amp;" kg)"</f>
        <v>Landemasse (max. 1315 kg)</v>
      </c>
      <c r="B18" s="73"/>
      <c r="C18" s="66"/>
      <c r="D18" s="70" t="n">
        <f aca="false">SUM(D16:D17)</f>
        <v>969.311656</v>
      </c>
      <c r="E18" s="70"/>
      <c r="F18" s="71" t="n">
        <f aca="false">G18/D18</f>
        <v>3.58685320441788</v>
      </c>
      <c r="G18" s="72" t="n">
        <f aca="false">SUM(G16:G17)</f>
        <v>3476.7786194032</v>
      </c>
    </row>
    <row r="19" customFormat="false" ht="15" hidden="false" customHeight="false" outlineLevel="0" collapsed="false">
      <c r="A19" s="58"/>
      <c r="B19" s="58"/>
    </row>
    <row r="20" customFormat="false" ht="15" hidden="false" customHeight="false" outlineLevel="0" collapsed="false">
      <c r="A20" s="49" t="s">
        <v>30</v>
      </c>
      <c r="B20" s="49"/>
      <c r="C20" s="75" t="s">
        <v>31</v>
      </c>
      <c r="D20" s="75"/>
      <c r="E20" s="75"/>
      <c r="F20" s="75"/>
      <c r="G20" s="75"/>
    </row>
    <row r="22" customFormat="false" ht="15" hidden="false" customHeight="false" outlineLevel="0" collapsed="false">
      <c r="B22" s="76" t="s">
        <v>1</v>
      </c>
      <c r="G22" s="0" t="s">
        <v>2</v>
      </c>
    </row>
    <row r="48" customFormat="false" ht="15" hidden="false" customHeight="false" outlineLevel="0" collapsed="false">
      <c r="A48" s="42" t="s">
        <v>32</v>
      </c>
      <c r="B48" s="42"/>
      <c r="C48" s="42"/>
      <c r="D48" s="42"/>
      <c r="E48" s="42"/>
      <c r="F48" s="42"/>
      <c r="G48" s="42"/>
    </row>
  </sheetData>
  <sheetProtection sheet="true" objects="true" scenarios="true"/>
  <mergeCells count="34">
    <mergeCell ref="B1:E1"/>
    <mergeCell ref="F1:G1"/>
    <mergeCell ref="F2:G2"/>
    <mergeCell ref="A4:B4"/>
    <mergeCell ref="D4:E4"/>
    <mergeCell ref="A5:B5"/>
    <mergeCell ref="C5:E5"/>
    <mergeCell ref="A6:B6"/>
    <mergeCell ref="A7:B7"/>
    <mergeCell ref="D7:E7"/>
    <mergeCell ref="A8:B8"/>
    <mergeCell ref="D8:E8"/>
    <mergeCell ref="A9:B9"/>
    <mergeCell ref="A10:B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A20:B20"/>
    <mergeCell ref="C20:G20"/>
    <mergeCell ref="A48:G48"/>
  </mergeCells>
  <printOptions headings="false" gridLines="false" gridLinesSet="true" horizontalCentered="true" verticalCentered="false"/>
  <pageMargins left="0.708333333333333" right="0.315277777777778" top="0.196527777777778" bottom="0.748611111111111" header="0.511811023622047" footer="0.315277777777778"/>
  <pageSetup paperSize="11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&amp;L&amp;D &amp;T&amp;C&amp;F&amp;RSeite &amp;P von &amp;N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3E61F88-DC26-4694-9127-F1D410B635AD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C15</xm:sqref>
        </x14:conditionalFormatting>
        <x14:conditionalFormatting xmlns:xm="http://schemas.microsoft.com/office/excel/2006/main">
          <x14:cfRule type="iconSet" priority="3" id="{DF2ECEA5-F115-4141-999A-BB5B31A5994C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4" id="{735DFCDC-64B0-4348-B68D-8C5A349CF8D3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D16</xm:sqref>
        </x14:conditionalFormatting>
        <x14:conditionalFormatting xmlns:xm="http://schemas.microsoft.com/office/excel/2006/main">
          <x14:cfRule type="iconSet" priority="5" id="{B4E3DE3D-B6E0-4D84-A150-9630A99F6684}">
            <x14:iconSet iconSet="3Symbols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Flugzeugdaten!$G$4</xm:f>
              </x14:cfvo>
              <x14:cfIcon iconSet="NoIcons" iconId="0"/>
              <x14:cfIcon iconSet="NoIcons" iconId="0"/>
              <x14:cfIcon iconSet="3Symbols" iconId="0"/>
            </x14:iconSet>
          </x14:cfRule>
          <xm:sqref>D18 D12</xm:sqref>
        </x14:conditionalFormatting>
        <x14:conditionalFormatting xmlns:xm="http://schemas.microsoft.com/office/excel/2006/main">
          <x14:cfRule type="iconSet" priority="6" id="{F0E4A5B4-354E-4AE1-AF7A-75913434C810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Flugzeugdaten!$H$13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7" id="{69D02B59-98A9-42D7-BF74-CBA121CA9857}">
            <x14:iconSet iconSet="3TrafficLights1" custom="1" reverse="0" showValue="1">
              <x14:cfvo type="percent">
                <xm:f>0</xm:f>
              </x14:cfvo>
              <x14:cfvo type="formula">
                <xm:f>$C$13-$C$15-Flugzeugdaten!$Q$7</xm:f>
              </x14:cfvo>
              <x14:cfvo type="formula">
                <xm:f>$C$13-$C$15-Flugzeugdaten!$Q$6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8" id="{659BE2F0-7096-4CBF-A732-C770A34A17C3}">
            <x14:iconSet iconSet="3TrafficLights1" custom="1" reverse="0" showValue="1">
              <x14:cfvo type="percent">
                <xm:f>0</xm:f>
              </x14:cfvo>
              <x14:cfvo type="formula">
                <xm:f>Flugzeugdaten!$Q$12</xm:f>
              </x14:cfvo>
              <x14:cfvo type="formula">
                <xm:f>Flugzeugdaten!$R$12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F16</xm:sqref>
        </x14:conditionalFormatting>
        <x14:conditionalFormatting xmlns:xm="http://schemas.microsoft.com/office/excel/2006/main">
          <x14:cfRule type="iconSet" priority="9" id="{D8F0BAF0-62C9-488E-98D0-FF416A597EE8}">
            <x14:iconSet iconSet="3TrafficLights1" custom="1" reverse="0" showValue="1">
              <x14:cfvo type="percent">
                <xm:f>0</xm:f>
              </x14:cfvo>
              <x14:cfvo type="formula">
                <xm:f>Flugzeugdaten!$Q$13</xm:f>
              </x14:cfvo>
              <x14:cfvo type="formula">
                <xm:f>Flugzeugdaten!$R$13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F18</xm:sqref>
        </x14:conditionalFormatting>
        <x14:conditionalFormatting xmlns:xm="http://schemas.microsoft.com/office/excel/2006/main">
          <x14:cfRule type="iconSet" priority="10" id="{E054C088-50C6-4C84-AEE5-F44019534637}">
            <x14:iconSet iconSet="3TrafficLights1" custom="1" reverse="0" showValue="1">
              <x14:cfvo type="percent">
                <xm:f>0</xm:f>
              </x14:cfvo>
              <x14:cfvo type="formula">
                <xm:f>Flugzeugdaten!$Q$14</xm:f>
              </x14:cfvo>
              <x14:cfvo type="formula">
                <xm:f>Flugzeugdaten!$R$14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1.42578125" defaultRowHeight="15" zeroHeight="false" outlineLevelRow="0" outlineLevelCol="0"/>
  <cols>
    <col collapsed="false" customWidth="true" hidden="false" outlineLevel="0" max="2" min="2" style="0" width="14"/>
    <col collapsed="false" customWidth="true" hidden="false" outlineLevel="0" max="3" min="3" style="77" width="17.86"/>
    <col collapsed="false" customWidth="true" hidden="false" outlineLevel="0" max="4" min="4" style="0" width="25.71"/>
    <col collapsed="false" customWidth="false" hidden="false" outlineLevel="0" max="5" min="5" style="78" width="11.43"/>
    <col collapsed="false" customWidth="true" hidden="false" outlineLevel="0" max="6" min="6" style="79" width="36.71"/>
    <col collapsed="false" customWidth="true" hidden="false" outlineLevel="0" max="8" min="7" style="80" width="7.29"/>
    <col collapsed="false" customWidth="true" hidden="false" outlineLevel="0" max="9" min="9" style="78" width="12.71"/>
    <col collapsed="false" customWidth="false" hidden="false" outlineLevel="0" max="10" min="10" style="81" width="11.43"/>
    <col collapsed="false" customWidth="true" hidden="false" outlineLevel="0" max="11" min="11" style="78" width="13.57"/>
    <col collapsed="false" customWidth="true" hidden="false" outlineLevel="0" max="12" min="12" style="78" width="14.29"/>
    <col collapsed="false" customWidth="true" hidden="false" outlineLevel="0" max="13" min="13" style="79" width="10.71"/>
    <col collapsed="false" customWidth="false" hidden="false" outlineLevel="0" max="14" min="14" style="78" width="11.43"/>
    <col collapsed="false" customWidth="true" hidden="false" outlineLevel="0" max="15" min="15" style="79" width="23.29"/>
    <col collapsed="false" customWidth="false" hidden="false" outlineLevel="0" max="18" min="18" style="77" width="11.43"/>
  </cols>
  <sheetData>
    <row r="1" customFormat="false" ht="15" hidden="false" customHeight="false" outlineLevel="0" collapsed="false">
      <c r="A1" s="82" t="s">
        <v>33</v>
      </c>
      <c r="B1" s="82"/>
      <c r="C1" s="82"/>
      <c r="D1" s="83" t="s">
        <v>34</v>
      </c>
      <c r="E1" s="83"/>
      <c r="F1" s="84" t="s">
        <v>35</v>
      </c>
      <c r="G1" s="84"/>
      <c r="H1" s="84"/>
      <c r="I1" s="84"/>
      <c r="J1" s="83" t="s">
        <v>36</v>
      </c>
      <c r="K1" s="83"/>
      <c r="L1" s="83"/>
      <c r="M1" s="84" t="s">
        <v>37</v>
      </c>
      <c r="N1" s="84"/>
      <c r="O1" s="85" t="s">
        <v>38</v>
      </c>
      <c r="P1" s="85"/>
      <c r="Q1" s="85"/>
      <c r="R1" s="85"/>
    </row>
    <row r="2" customFormat="false" ht="15" hidden="false" customHeight="false" outlineLevel="0" collapsed="false">
      <c r="A2" s="86" t="s">
        <v>39</v>
      </c>
      <c r="B2" s="86"/>
      <c r="C2" s="77" t="s">
        <v>40</v>
      </c>
      <c r="D2" s="87" t="s">
        <v>41</v>
      </c>
      <c r="E2" s="88" t="s">
        <v>42</v>
      </c>
      <c r="F2" s="89" t="s">
        <v>43</v>
      </c>
      <c r="G2" s="90" t="s">
        <v>10</v>
      </c>
      <c r="H2" s="90" t="s">
        <v>14</v>
      </c>
      <c r="I2" s="91" t="s">
        <v>44</v>
      </c>
      <c r="J2" s="92" t="s">
        <v>16</v>
      </c>
      <c r="K2" s="88" t="s">
        <v>23</v>
      </c>
      <c r="L2" s="88" t="s">
        <v>24</v>
      </c>
      <c r="M2" s="89" t="s">
        <v>45</v>
      </c>
      <c r="N2" s="91" t="s">
        <v>46</v>
      </c>
      <c r="O2" s="89" t="s">
        <v>47</v>
      </c>
      <c r="P2" s="93" t="s">
        <v>10</v>
      </c>
      <c r="Q2" s="93" t="s">
        <v>14</v>
      </c>
      <c r="R2" s="94" t="s">
        <v>42</v>
      </c>
    </row>
    <row r="3" customFormat="false" ht="15" hidden="false" customHeight="false" outlineLevel="0" collapsed="false">
      <c r="A3" s="95" t="s">
        <v>48</v>
      </c>
      <c r="B3" s="95"/>
      <c r="C3" s="96" t="s">
        <v>49</v>
      </c>
      <c r="D3" s="0" t="s">
        <v>50</v>
      </c>
      <c r="E3" s="78" t="n">
        <f aca="false">143.5*N5</f>
        <v>3.6449</v>
      </c>
      <c r="F3" s="79" t="s">
        <v>51</v>
      </c>
      <c r="G3" s="80" t="n">
        <f aca="false">3000*N4</f>
        <v>1360.776</v>
      </c>
      <c r="J3" s="81" t="n">
        <f aca="false">G6</f>
        <v>957.07912</v>
      </c>
      <c r="K3" s="78" t="n">
        <f aca="false">I6</f>
        <v>3.52298</v>
      </c>
      <c r="L3" s="78" t="n">
        <f aca="false">J3*K3</f>
        <v>3371.7705981776</v>
      </c>
      <c r="M3" s="79" t="s">
        <v>52</v>
      </c>
      <c r="N3" s="78" t="n">
        <v>0.72</v>
      </c>
      <c r="O3" s="79" t="s">
        <v>53</v>
      </c>
      <c r="P3" s="80" t="n">
        <f aca="false">2110*N4</f>
        <v>957.07912</v>
      </c>
      <c r="Q3" s="80"/>
      <c r="R3" s="97"/>
    </row>
    <row r="4" customFormat="false" ht="15" hidden="false" customHeight="false" outlineLevel="0" collapsed="false">
      <c r="A4" s="85" t="s">
        <v>54</v>
      </c>
      <c r="B4" s="85"/>
      <c r="C4" s="85"/>
      <c r="D4" s="0" t="s">
        <v>12</v>
      </c>
      <c r="E4" s="78" t="n">
        <f aca="false">180*N5</f>
        <v>4.572</v>
      </c>
      <c r="F4" s="79" t="s">
        <v>55</v>
      </c>
      <c r="G4" s="80" t="n">
        <f aca="false">2900*N4</f>
        <v>1315.4168</v>
      </c>
      <c r="J4" s="81" t="n">
        <f aca="false">G7</f>
        <v>1221.976848</v>
      </c>
      <c r="K4" s="78" t="n">
        <f aca="false">I7</f>
        <v>3.5814</v>
      </c>
      <c r="L4" s="78" t="n">
        <f aca="false">J4*K4</f>
        <v>4376.3878834272</v>
      </c>
      <c r="M4" s="79" t="s">
        <v>56</v>
      </c>
      <c r="N4" s="78" t="n">
        <v>0.453592</v>
      </c>
      <c r="O4" s="79" t="s">
        <v>57</v>
      </c>
      <c r="P4" s="80" t="n">
        <v>950</v>
      </c>
      <c r="Q4" s="80"/>
      <c r="R4" s="97"/>
    </row>
    <row r="5" customFormat="false" ht="15" hidden="false" customHeight="false" outlineLevel="0" collapsed="false">
      <c r="A5" s="93" t="s">
        <v>16</v>
      </c>
      <c r="B5" s="93" t="s">
        <v>23</v>
      </c>
      <c r="C5" s="94" t="s">
        <v>24</v>
      </c>
      <c r="D5" s="0" t="s">
        <v>58</v>
      </c>
      <c r="E5" s="78" t="n">
        <f aca="false">208*N5</f>
        <v>5.2832</v>
      </c>
      <c r="F5" s="79" t="s">
        <v>59</v>
      </c>
      <c r="G5" s="80" t="n">
        <f aca="false">130*N4</f>
        <v>58.96696</v>
      </c>
      <c r="J5" s="81" t="n">
        <f aca="false">G8</f>
        <v>1360.776</v>
      </c>
      <c r="K5" s="78" t="n">
        <f aca="false">I8</f>
        <v>3.66014</v>
      </c>
      <c r="L5" s="78" t="n">
        <f aca="false">J5*K5</f>
        <v>4980.63066864</v>
      </c>
      <c r="M5" s="79" t="s">
        <v>60</v>
      </c>
      <c r="N5" s="98" t="n">
        <v>0.0254</v>
      </c>
      <c r="O5" s="79" t="s">
        <v>61</v>
      </c>
      <c r="P5" s="80"/>
      <c r="Q5" s="80"/>
      <c r="R5" s="97" t="n">
        <v>3.5</v>
      </c>
    </row>
    <row r="6" customFormat="false" ht="15" hidden="false" customHeight="false" outlineLevel="0" collapsed="false">
      <c r="A6" s="99" t="n">
        <f aca="false">(2145-2)*N4</f>
        <v>972.047656</v>
      </c>
      <c r="B6" s="78" t="n">
        <f aca="false">C6/A6</f>
        <v>3.58775296313579</v>
      </c>
      <c r="C6" s="97" t="n">
        <f aca="false">(302782-83)*N6</f>
        <v>3487.4668581232</v>
      </c>
      <c r="D6" s="0" t="s">
        <v>62</v>
      </c>
      <c r="E6" s="78" t="n">
        <f aca="false">153.8*N5</f>
        <v>3.90652</v>
      </c>
      <c r="F6" s="79" t="s">
        <v>63</v>
      </c>
      <c r="G6" s="80" t="n">
        <f aca="false">2110*$N$4</f>
        <v>957.07912</v>
      </c>
      <c r="I6" s="78" t="n">
        <f aca="false">138.7*$N$5</f>
        <v>3.52298</v>
      </c>
      <c r="J6" s="81" t="n">
        <f aca="false">G12</f>
        <v>1360.776</v>
      </c>
      <c r="K6" s="78" t="n">
        <f aca="false">I12</f>
        <v>3.7592</v>
      </c>
      <c r="L6" s="78" t="n">
        <f aca="false">J6*K6</f>
        <v>5115.4291392</v>
      </c>
      <c r="M6" s="79" t="s">
        <v>64</v>
      </c>
      <c r="N6" s="98" t="n">
        <f aca="false">N4*N5</f>
        <v>0.0115212368</v>
      </c>
      <c r="O6" s="79" t="s">
        <v>65</v>
      </c>
      <c r="P6" s="80"/>
      <c r="Q6" s="61" t="n">
        <f aca="false">8.4*N7*0.5</f>
        <v>15.898722</v>
      </c>
      <c r="R6" s="97"/>
    </row>
    <row r="7" customFormat="false" ht="15" hidden="false" customHeight="false" outlineLevel="0" collapsed="false">
      <c r="F7" s="79" t="s">
        <v>63</v>
      </c>
      <c r="G7" s="80" t="n">
        <f aca="false">2694*$N$4</f>
        <v>1221.976848</v>
      </c>
      <c r="I7" s="78" t="n">
        <f aca="false">141*$N$5</f>
        <v>3.5814</v>
      </c>
      <c r="J7" s="81" t="n">
        <f aca="false">G11</f>
        <v>1315.4168</v>
      </c>
      <c r="K7" s="78" t="n">
        <f aca="false">I11</f>
        <v>3.76174</v>
      </c>
      <c r="L7" s="78" t="n">
        <f aca="false">J7*K7</f>
        <v>4948.255993232</v>
      </c>
      <c r="M7" s="79" t="s">
        <v>66</v>
      </c>
      <c r="N7" s="78" t="n">
        <v>3.78541</v>
      </c>
      <c r="O7" s="79" t="s">
        <v>67</v>
      </c>
      <c r="P7" s="80"/>
      <c r="Q7" s="80" t="n">
        <f aca="false">1.5*Q6</f>
        <v>23.848083</v>
      </c>
      <c r="R7" s="97"/>
    </row>
    <row r="8" customFormat="false" ht="15" hidden="false" customHeight="false" outlineLevel="0" collapsed="false">
      <c r="F8" s="79" t="s">
        <v>63</v>
      </c>
      <c r="G8" s="80" t="n">
        <f aca="false">3000*$N$4</f>
        <v>1360.776</v>
      </c>
      <c r="I8" s="78" t="n">
        <f aca="false">144.1*$N$5</f>
        <v>3.66014</v>
      </c>
      <c r="J8" s="81" t="n">
        <f aca="false">G10</f>
        <v>1165.73144</v>
      </c>
      <c r="K8" s="100" t="n">
        <f aca="false">I10</f>
        <v>3.74396</v>
      </c>
      <c r="L8" s="78" t="n">
        <f aca="false">J8*K8</f>
        <v>4364.4518821024</v>
      </c>
      <c r="O8" s="79" t="s">
        <v>68</v>
      </c>
      <c r="P8" s="101" t="n">
        <f aca="false">J7</f>
        <v>1315.4168</v>
      </c>
      <c r="R8" s="77" t="n">
        <v>3.6342</v>
      </c>
    </row>
    <row r="9" customFormat="false" ht="15" hidden="false" customHeight="false" outlineLevel="0" collapsed="false">
      <c r="F9" s="79" t="s">
        <v>69</v>
      </c>
      <c r="G9" s="80" t="n">
        <f aca="false">2110*$N$4</f>
        <v>957.07912</v>
      </c>
      <c r="I9" s="78" t="n">
        <f aca="false">144.6*$N$5</f>
        <v>3.67284</v>
      </c>
      <c r="J9" s="81" t="n">
        <f aca="false">G9</f>
        <v>957.07912</v>
      </c>
      <c r="K9" s="78" t="n">
        <f aca="false">I9</f>
        <v>3.67284</v>
      </c>
      <c r="L9" s="78" t="n">
        <f aca="false">J9*K9</f>
        <v>3515.1984751008</v>
      </c>
      <c r="P9" s="101" t="n">
        <f aca="false">P8</f>
        <v>1315.4168</v>
      </c>
      <c r="R9" s="97" t="n">
        <f aca="false">K7</f>
        <v>3.76174</v>
      </c>
    </row>
    <row r="10" customFormat="false" ht="15" hidden="false" customHeight="false" outlineLevel="0" collapsed="false">
      <c r="F10" s="79" t="s">
        <v>69</v>
      </c>
      <c r="G10" s="80" t="n">
        <f aca="false">2570*$N$4</f>
        <v>1165.73144</v>
      </c>
      <c r="I10" s="78" t="n">
        <f aca="false">147.4*$N$5</f>
        <v>3.74396</v>
      </c>
      <c r="J10" s="81" t="n">
        <f aca="false">J3</f>
        <v>957.07912</v>
      </c>
      <c r="K10" s="78" t="n">
        <f aca="false">K3</f>
        <v>3.52298</v>
      </c>
      <c r="L10" s="78" t="n">
        <f aca="false">L3</f>
        <v>3371.7705981776</v>
      </c>
      <c r="O10" s="89"/>
      <c r="P10" s="102"/>
      <c r="Q10" s="102"/>
      <c r="R10" s="103"/>
    </row>
    <row r="11" customFormat="false" ht="15" hidden="false" customHeight="false" outlineLevel="0" collapsed="false">
      <c r="F11" s="79" t="s">
        <v>69</v>
      </c>
      <c r="G11" s="80" t="n">
        <f aca="false">2900*$N$4</f>
        <v>1315.4168</v>
      </c>
      <c r="I11" s="78" t="n">
        <f aca="false">148.1*$N$5</f>
        <v>3.76174</v>
      </c>
      <c r="O11" s="89" t="s">
        <v>47</v>
      </c>
      <c r="P11" s="95" t="s">
        <v>70</v>
      </c>
      <c r="Q11" s="95" t="s">
        <v>71</v>
      </c>
      <c r="R11" s="103" t="s">
        <v>72</v>
      </c>
    </row>
    <row r="12" customFormat="false" ht="15" hidden="false" customHeight="false" outlineLevel="0" collapsed="false">
      <c r="F12" s="79" t="s">
        <v>69</v>
      </c>
      <c r="G12" s="80" t="n">
        <f aca="false">3000*$N$4</f>
        <v>1360.776</v>
      </c>
      <c r="I12" s="78" t="n">
        <f aca="false">148*$N$5</f>
        <v>3.7592</v>
      </c>
      <c r="O12" s="79" t="s">
        <v>73</v>
      </c>
      <c r="Q12" s="0" t="n">
        <f aca="false">MAX($I$6 + (Druckansicht!$D$16-$G$6)*($I$7-$I$6)/($G$7-$G$6), $I$7 + (Druckansicht!$D$16-$G$7)*($I$8-$I$7)/($G$8-$G$7))</f>
        <v>3.52567773832534</v>
      </c>
      <c r="R12" s="104" t="n">
        <f aca="false">MIN($I$9 + (Druckansicht!$D$16-$G$9)*($I$10-$I$9)/($G$10-$G$9), $I$10 + (Druckansicht!$D$16-$G$10)*($I$11-$I$10)/($G$11-$G$10), $I$11 + (Druckansicht!$D$16-$G$11)*($I$12-$I$11)/($G$12-$G$11))</f>
        <v>3.67700951012249</v>
      </c>
    </row>
    <row r="13" customFormat="false" ht="15" hidden="false" customHeight="false" outlineLevel="0" collapsed="false">
      <c r="F13" s="79" t="s">
        <v>62</v>
      </c>
      <c r="H13" s="80" t="n">
        <v>212</v>
      </c>
      <c r="I13" s="97"/>
      <c r="O13" s="79" t="s">
        <v>74</v>
      </c>
      <c r="P13" s="80"/>
      <c r="Q13" s="0" t="n">
        <f aca="false">MAX($I$6 + (Druckansicht!$D$18-$G$6)*($I$7-$I$6)/($G$7-$G$6), $I$7 + (Druckansicht!$D$18-$G$7)*($I$8-$I$7)/($G$8-$G$7))</f>
        <v>3.52567773832534</v>
      </c>
      <c r="R13" s="77" t="n">
        <f aca="false">MIN($I$9 + (Druckansicht!$D$18-$G$9)*($I$10-$I$9)/($G$10-$G$9), $I$10 + (Druckansicht!$D$18-$G$10)*($I$11-$I$10)/($G$11-$G$10), $I$11 + (Druckansicht!$D$18-$G$11)*($I$12-$I$11)/($G$12-$G$11))</f>
        <v>3.67700951012249</v>
      </c>
    </row>
    <row r="14" customFormat="false" ht="15" hidden="false" customHeight="false" outlineLevel="0" collapsed="false">
      <c r="O14" s="79" t="s">
        <v>75</v>
      </c>
      <c r="Q14" s="0" t="n">
        <f aca="false">MAX($I$6 + (Druckansicht!$D$12-$G$6)*($I$7-$I$6)/($G$7-$G$6), $I$7 + (Druckansicht!$D$12-$G$7)*($I$8-$I$7)/($G$8-$G$7))</f>
        <v>3.52628113013699</v>
      </c>
      <c r="R14" s="77" t="n">
        <f aca="false">MIN($I$9 + (Druckansicht!$D$12-$G$9)*($I$10-$I$9)/($G$10-$G$9), $I$10 + (Druckansicht!$D$12-$G$10)*($I$11-$I$10)/($G$11-$G$10), $I$11 + (Druckansicht!$D$12-$G$11)*($I$12-$I$11)/($G$12-$G$11))</f>
        <v>3.67794208695652</v>
      </c>
    </row>
    <row r="16" customFormat="false" ht="15" hidden="false" customHeight="false" outlineLevel="0" collapsed="false">
      <c r="Q16" s="101"/>
    </row>
    <row r="18" customFormat="false" ht="15" hidden="false" customHeight="false" outlineLevel="0" collapsed="false">
      <c r="I18" s="97"/>
      <c r="J18" s="80"/>
    </row>
  </sheetData>
  <sheetProtection sheet="true" objects="true" scenarios="true"/>
  <mergeCells count="9">
    <mergeCell ref="A1:C1"/>
    <mergeCell ref="D1:E1"/>
    <mergeCell ref="F1:I1"/>
    <mergeCell ref="J1:L1"/>
    <mergeCell ref="M1:N1"/>
    <mergeCell ref="O1:R1"/>
    <mergeCell ref="A2:B2"/>
    <mergeCell ref="A3:B3"/>
    <mergeCell ref="A4:C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2021-02-05T21:44:30Z</dcterms:created>
  <dc:creator>Jan Klitzke</dc:creator>
  <dc:description/>
  <dc:language>de-DE</dc:language>
  <cp:lastModifiedBy>Peter Schott</cp:lastModifiedBy>
  <dcterms:modified xsi:type="dcterms:W3CDTF">2023-01-04T18:26:57Z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