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jnuk\Desktop\LFV Mainz\MaB\"/>
    </mc:Choice>
  </mc:AlternateContent>
  <bookViews>
    <workbookView xWindow="0" yWindow="0" windowWidth="28800" windowHeight="12300"/>
  </bookViews>
  <sheets>
    <sheet name="Dateneingabe" sheetId="4" r:id="rId1"/>
    <sheet name="Druckansicht" sheetId="2" r:id="rId2"/>
    <sheet name="Flugzeugdaten" sheetId="3" state="hidden" r:id="rId3"/>
  </sheets>
  <definedNames>
    <definedName name="_xlnm.Print_Area" localSheetId="0">Dateneingabe!$A$28:$E$28</definedName>
    <definedName name="_xlnm.Print_Area" localSheetId="1">Druckansicht!$A$1:$G$48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2" l="1"/>
  <c r="A17" i="2"/>
  <c r="A14" i="2" l="1"/>
  <c r="A13" i="2"/>
  <c r="R9" i="3" l="1"/>
  <c r="P8" i="3"/>
  <c r="P9" i="3"/>
  <c r="F14" i="2"/>
  <c r="A16" i="4"/>
  <c r="C14" i="2"/>
  <c r="Q6" i="3"/>
  <c r="K13" i="3"/>
  <c r="K12" i="3"/>
  <c r="K11" i="3"/>
  <c r="K10" i="3"/>
  <c r="K9" i="3"/>
  <c r="K14" i="3" s="1"/>
  <c r="G17" i="3"/>
  <c r="J12" i="3" s="1"/>
  <c r="L12" i="3" s="1"/>
  <c r="G12" i="3"/>
  <c r="G10" i="3"/>
  <c r="G15" i="3"/>
  <c r="J11" i="3" s="1"/>
  <c r="J10" i="3"/>
  <c r="J9" i="3"/>
  <c r="L10" i="3"/>
  <c r="K4" i="3"/>
  <c r="J4" i="3"/>
  <c r="L4" i="3" s="1"/>
  <c r="J3" i="3"/>
  <c r="D14" i="2" l="1"/>
  <c r="G14" i="2" s="1"/>
  <c r="J13" i="3"/>
  <c r="J14" i="3"/>
  <c r="L13" i="3"/>
  <c r="L11" i="3"/>
  <c r="L9" i="3"/>
  <c r="L14" i="3" s="1"/>
  <c r="C6" i="3"/>
  <c r="R14" i="3" l="1"/>
  <c r="R13" i="3"/>
  <c r="R12" i="3"/>
  <c r="A11" i="2" l="1"/>
  <c r="A12" i="4" s="1"/>
  <c r="A15" i="4"/>
  <c r="J7" i="3"/>
  <c r="K7" i="3"/>
  <c r="K3" i="3"/>
  <c r="K8" i="3" s="1"/>
  <c r="K6" i="3"/>
  <c r="J6" i="3"/>
  <c r="K5" i="3"/>
  <c r="J5" i="3"/>
  <c r="F10" i="2"/>
  <c r="F9" i="2"/>
  <c r="D8" i="2"/>
  <c r="E10" i="2"/>
  <c r="D10" i="2"/>
  <c r="B2" i="4"/>
  <c r="A1" i="2"/>
  <c r="A1" i="4" s="1"/>
  <c r="A22" i="4"/>
  <c r="A23" i="4"/>
  <c r="A2" i="2"/>
  <c r="A2" i="4" s="1"/>
  <c r="J1" i="4"/>
  <c r="D1" i="4"/>
  <c r="F2" i="2"/>
  <c r="J2" i="4" s="1"/>
  <c r="B6" i="4"/>
  <c r="G5" i="2" s="1"/>
  <c r="C5" i="2"/>
  <c r="G4" i="2"/>
  <c r="D4" i="2"/>
  <c r="A24" i="4"/>
  <c r="A18" i="4"/>
  <c r="A17" i="4"/>
  <c r="C18" i="2"/>
  <c r="D18" i="2" s="1"/>
  <c r="C16" i="2"/>
  <c r="D16" i="2"/>
  <c r="C13" i="2"/>
  <c r="F18" i="2" s="1"/>
  <c r="D11" i="2"/>
  <c r="D9" i="2"/>
  <c r="E9" i="2"/>
  <c r="Q7" i="3"/>
  <c r="F16" i="2"/>
  <c r="F13" i="2"/>
  <c r="F11" i="2"/>
  <c r="D13" i="2" l="1"/>
  <c r="G13" i="2" s="1"/>
  <c r="L6" i="3"/>
  <c r="G16" i="2"/>
  <c r="D12" i="2"/>
  <c r="L5" i="3"/>
  <c r="J8" i="3"/>
  <c r="L3" i="3"/>
  <c r="L8" i="3" s="1"/>
  <c r="L7" i="3"/>
  <c r="G9" i="2"/>
  <c r="G10" i="2"/>
  <c r="G11" i="2"/>
  <c r="G18" i="2"/>
  <c r="Q14" i="3" l="1"/>
  <c r="S14" i="3"/>
  <c r="D15" i="2"/>
  <c r="D17" i="2" s="1"/>
  <c r="D24" i="4"/>
  <c r="S12" i="3" l="1"/>
  <c r="Q12" i="3"/>
  <c r="D19" i="2"/>
  <c r="D22" i="4"/>
  <c r="Q13" i="3" l="1"/>
  <c r="S13" i="3"/>
  <c r="D23" i="4"/>
  <c r="B6" i="3"/>
  <c r="F8" i="2" s="1"/>
  <c r="G8" i="2"/>
  <c r="G12" i="2" s="1"/>
  <c r="G15" i="2" s="1"/>
  <c r="F15" i="2" l="1"/>
  <c r="G17" i="2"/>
  <c r="F12" i="2"/>
  <c r="E24" i="4" s="1"/>
  <c r="G19" i="2" l="1"/>
  <c r="F19" i="2" s="1"/>
  <c r="E23" i="4" s="1"/>
  <c r="F17" i="2"/>
  <c r="E22" i="4" s="1"/>
  <c r="D26" i="4" s="1"/>
</calcChain>
</file>

<file path=xl/sharedStrings.xml><?xml version="1.0" encoding="utf-8"?>
<sst xmlns="http://schemas.openxmlformats.org/spreadsheetml/2006/main" count="111" uniqueCount="81">
  <si>
    <t>Angaben zum Flug</t>
  </si>
  <si>
    <t>VORNE</t>
  </si>
  <si>
    <t>HINTEN</t>
  </si>
  <si>
    <t>Route</t>
  </si>
  <si>
    <t>von</t>
  </si>
  <si>
    <t>EDFZ</t>
  </si>
  <si>
    <t>nach</t>
  </si>
  <si>
    <t>Flugdatum</t>
  </si>
  <si>
    <t>PIC</t>
  </si>
  <si>
    <t>Beladung</t>
  </si>
  <si>
    <t>[kg]</t>
  </si>
  <si>
    <t>Pilot &amp; Passagier vorne</t>
  </si>
  <si>
    <t>Rücksitzinsassen</t>
  </si>
  <si>
    <t>Treibstoff</t>
  </si>
  <si>
    <t>[L]</t>
  </si>
  <si>
    <t>Flugmassen &amp; Schwerpunktslage</t>
  </si>
  <si>
    <t>Masse [kg]</t>
  </si>
  <si>
    <t>C.G. [m]</t>
  </si>
  <si>
    <t>Zum Drucken bitte unten das Blatt "Druckansicht" auswählen</t>
  </si>
  <si>
    <t>Masse &amp; Schwerpunkt Berechnung</t>
  </si>
  <si>
    <t>Luftfahrtverein Mainz e.V.</t>
  </si>
  <si>
    <t>Masse &amp; Schwerpunkt // Tabelle</t>
  </si>
  <si>
    <t>Treibstoff [L]</t>
  </si>
  <si>
    <t>Hebelarm [m]</t>
  </si>
  <si>
    <t>Moment [kgm]</t>
  </si>
  <si>
    <t>Leermasse</t>
  </si>
  <si>
    <t>Flugmasse ohne Treibstoff</t>
  </si>
  <si>
    <t>Rollmasse</t>
  </si>
  <si>
    <t>Treibstoff für Anlassen &amp; Rollen</t>
  </si>
  <si>
    <t>Treibstoff für Flugstrecke</t>
  </si>
  <si>
    <t>Masse &amp; Schwerpunkt // Diagramm</t>
  </si>
  <si>
    <t>Zulässiger Flugmassen-Schwerpunktbereich</t>
  </si>
  <si>
    <t>Kein Ersatz für die im Flughandbuch beschriebene Berechnung. Alle Angaben ohne Gewähr.</t>
  </si>
  <si>
    <t>Flugzeugdaten</t>
  </si>
  <si>
    <t>Hebelarme ab Bezugsebene</t>
  </si>
  <si>
    <t>Betriebsgrenzen</t>
  </si>
  <si>
    <t>Massen-/Momentengrenzen</t>
  </si>
  <si>
    <t>Umrechnungstabelle</t>
  </si>
  <si>
    <t>Diagrammformatierung</t>
  </si>
  <si>
    <t>Registrierung</t>
  </si>
  <si>
    <t>D-EUPS</t>
  </si>
  <si>
    <t>Bezeichnung</t>
  </si>
  <si>
    <t>[m]</t>
  </si>
  <si>
    <t>Grenze</t>
  </si>
  <si>
    <t>[m] hinter BE</t>
  </si>
  <si>
    <t>Einheiten</t>
  </si>
  <si>
    <t>Faktor</t>
  </si>
  <si>
    <t>Label</t>
  </si>
  <si>
    <t>Typ</t>
  </si>
  <si>
    <t>Robin DR401</t>
  </si>
  <si>
    <t>Vordersitzinsassen</t>
  </si>
  <si>
    <t>Höchstzulässige Startmasse U</t>
  </si>
  <si>
    <t>kg/L</t>
  </si>
  <si>
    <t>untere Gewichtsgrenze</t>
  </si>
  <si>
    <t>Wägedaten vom 31.05.2021</t>
  </si>
  <si>
    <t>Höchstzulässige Landemasse U</t>
  </si>
  <si>
    <t>x-Achse</t>
  </si>
  <si>
    <t>Gepäck</t>
  </si>
  <si>
    <t>Höchstzulässige Startmasse N</t>
  </si>
  <si>
    <t>y-Achse</t>
  </si>
  <si>
    <t>Haupttank</t>
  </si>
  <si>
    <t>Höchstzulässige Landemasse N</t>
  </si>
  <si>
    <t>30 min reserve</t>
  </si>
  <si>
    <t>Flügeltanks</t>
  </si>
  <si>
    <t>Höchszulässige Masse im Gepäckraum</t>
  </si>
  <si>
    <t>45 min reserve</t>
  </si>
  <si>
    <t>fwd CG limit U</t>
  </si>
  <si>
    <t>dashed line MLAW</t>
  </si>
  <si>
    <t>aft CG limit U</t>
  </si>
  <si>
    <t>CG</t>
  </si>
  <si>
    <t>fwd limit U</t>
  </si>
  <si>
    <t>aft limit U</t>
  </si>
  <si>
    <t>fwd limit N</t>
  </si>
  <si>
    <t>Start</t>
  </si>
  <si>
    <t>fwd CG limit N</t>
  </si>
  <si>
    <t>Landung</t>
  </si>
  <si>
    <t>ohne Treibstoff</t>
  </si>
  <si>
    <t>aft CG limit N</t>
  </si>
  <si>
    <t>Ausfliegbarer Treibstoff MAIN</t>
  </si>
  <si>
    <t>Ausfliegbarer Treibstoff WING</t>
  </si>
  <si>
    <t>Category: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</si>
</sst>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5">
    <xf numFmtId="0" fontId="0" fillId="0" borderId="0" xfId="0"/>
    <xf numFmtId="164" fontId="0" fillId="0" borderId="0" xfId="0" applyNumberFormat="1" applyBorder="1"/>
    <xf numFmtId="164" fontId="0" fillId="0" borderId="2" xfId="0" applyNumberFormat="1" applyBorder="1"/>
    <xf numFmtId="165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7" xfId="0" applyFill="1" applyBorder="1"/>
    <xf numFmtId="0" fontId="0" fillId="0" borderId="7" xfId="0" applyBorder="1"/>
    <xf numFmtId="1" fontId="0" fillId="0" borderId="0" xfId="0" applyNumberFormat="1" applyBorder="1"/>
    <xf numFmtId="1" fontId="0" fillId="0" borderId="4" xfId="0" applyNumberFormat="1" applyBorder="1"/>
    <xf numFmtId="0" fontId="0" fillId="0" borderId="0" xfId="1" applyNumberFormat="1" applyFont="1"/>
    <xf numFmtId="0" fontId="0" fillId="0" borderId="0" xfId="0" applyBorder="1"/>
    <xf numFmtId="0" fontId="8" fillId="0" borderId="0" xfId="0" applyFont="1" applyBorder="1"/>
    <xf numFmtId="164" fontId="8" fillId="0" borderId="7" xfId="0" applyNumberFormat="1" applyFont="1" applyBorder="1"/>
    <xf numFmtId="165" fontId="8" fillId="0" borderId="13" xfId="0" applyNumberFormat="1" applyFont="1" applyBorder="1"/>
    <xf numFmtId="165" fontId="0" fillId="0" borderId="3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65" fontId="0" fillId="0" borderId="5" xfId="0" applyNumberFormat="1" applyFill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64" fontId="8" fillId="5" borderId="1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3" borderId="8" xfId="0" applyFill="1" applyBorder="1" applyAlignment="1">
      <alignment horizontal="right"/>
    </xf>
    <xf numFmtId="14" fontId="0" fillId="3" borderId="1" xfId="0" applyNumberFormat="1" applyFill="1" applyBorder="1"/>
    <xf numFmtId="0" fontId="8" fillId="5" borderId="11" xfId="0" applyFont="1" applyFill="1" applyBorder="1" applyAlignment="1" applyProtection="1">
      <alignment horizontal="right"/>
      <protection locked="0"/>
    </xf>
    <xf numFmtId="164" fontId="0" fillId="0" borderId="15" xfId="0" applyNumberFormat="1" applyBorder="1"/>
    <xf numFmtId="164" fontId="0" fillId="0" borderId="13" xfId="0" applyNumberFormat="1" applyBorder="1"/>
    <xf numFmtId="0" fontId="9" fillId="0" borderId="0" xfId="0" applyFont="1" applyAlignment="1">
      <alignment horizontal="center"/>
    </xf>
    <xf numFmtId="0" fontId="0" fillId="0" borderId="0" xfId="0" applyFont="1"/>
    <xf numFmtId="0" fontId="0" fillId="0" borderId="5" xfId="0" applyBorder="1"/>
    <xf numFmtId="0" fontId="5" fillId="0" borderId="12" xfId="0" applyFont="1" applyBorder="1"/>
    <xf numFmtId="0" fontId="5" fillId="3" borderId="1" xfId="0" applyFont="1" applyFill="1" applyBorder="1"/>
    <xf numFmtId="0" fontId="5" fillId="0" borderId="13" xfId="0" applyFont="1" applyBorder="1"/>
    <xf numFmtId="0" fontId="7" fillId="2" borderId="5" xfId="0" applyFont="1" applyFill="1" applyBorder="1" applyAlignment="1">
      <alignment horizontal="right"/>
    </xf>
    <xf numFmtId="0" fontId="8" fillId="0" borderId="10" xfId="0" applyFont="1" applyBorder="1"/>
    <xf numFmtId="0" fontId="8" fillId="5" borderId="1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0" fillId="0" borderId="10" xfId="0" applyBorder="1"/>
    <xf numFmtId="165" fontId="10" fillId="0" borderId="1" xfId="0" applyNumberFormat="1" applyFont="1" applyBorder="1"/>
    <xf numFmtId="2" fontId="10" fillId="0" borderId="1" xfId="0" applyNumberFormat="1" applyFont="1" applyBorder="1"/>
    <xf numFmtId="2" fontId="10" fillId="3" borderId="1" xfId="0" applyNumberFormat="1" applyFont="1" applyFill="1" applyBorder="1" applyAlignment="1"/>
    <xf numFmtId="165" fontId="11" fillId="3" borderId="1" xfId="0" applyNumberFormat="1" applyFont="1" applyFill="1" applyBorder="1" applyAlignment="1"/>
    <xf numFmtId="0" fontId="12" fillId="0" borderId="0" xfId="0" applyFont="1"/>
    <xf numFmtId="0" fontId="12" fillId="0" borderId="13" xfId="0" applyFont="1" applyBorder="1" applyAlignment="1"/>
    <xf numFmtId="164" fontId="0" fillId="0" borderId="2" xfId="0" applyNumberFormat="1" applyBorder="1" applyAlignment="1"/>
    <xf numFmtId="166" fontId="0" fillId="0" borderId="0" xfId="0" applyNumberFormat="1"/>
    <xf numFmtId="0" fontId="6" fillId="0" borderId="12" xfId="0" applyFont="1" applyBorder="1" applyAlignment="1">
      <alignment vertical="center"/>
    </xf>
    <xf numFmtId="0" fontId="0" fillId="0" borderId="6" xfId="0" applyBorder="1"/>
    <xf numFmtId="165" fontId="0" fillId="0" borderId="5" xfId="0" applyNumberFormat="1" applyBorder="1"/>
    <xf numFmtId="1" fontId="0" fillId="0" borderId="6" xfId="0" applyNumberFormat="1" applyBorder="1"/>
    <xf numFmtId="1" fontId="0" fillId="0" borderId="0" xfId="0" applyNumberFormat="1"/>
    <xf numFmtId="0" fontId="5" fillId="4" borderId="9" xfId="0" applyFont="1" applyFill="1" applyBorder="1"/>
    <xf numFmtId="164" fontId="8" fillId="0" borderId="2" xfId="0" applyNumberFormat="1" applyFont="1" applyFill="1" applyBorder="1"/>
    <xf numFmtId="165" fontId="8" fillId="0" borderId="1" xfId="0" applyNumberFormat="1" applyFont="1" applyFill="1" applyBorder="1"/>
    <xf numFmtId="164" fontId="8" fillId="3" borderId="7" xfId="0" applyNumberFormat="1" applyFont="1" applyFill="1" applyBorder="1"/>
    <xf numFmtId="165" fontId="8" fillId="3" borderId="13" xfId="0" applyNumberFormat="1" applyFont="1" applyFill="1" applyBorder="1"/>
    <xf numFmtId="165" fontId="0" fillId="0" borderId="11" xfId="0" applyNumberFormat="1" applyBorder="1"/>
    <xf numFmtId="165" fontId="0" fillId="0" borderId="0" xfId="0" applyNumberFormat="1" applyFill="1"/>
    <xf numFmtId="2" fontId="0" fillId="0" borderId="0" xfId="0" applyNumberFormat="1" applyFill="1"/>
    <xf numFmtId="165" fontId="0" fillId="0" borderId="3" xfId="0" applyNumberFormat="1" applyFill="1" applyBorder="1"/>
    <xf numFmtId="0" fontId="0" fillId="7" borderId="4" xfId="0" applyFill="1" applyBorder="1"/>
    <xf numFmtId="1" fontId="0" fillId="7" borderId="0" xfId="0" applyNumberFormat="1" applyFill="1" applyBorder="1"/>
    <xf numFmtId="165" fontId="0" fillId="7" borderId="0" xfId="0" applyNumberFormat="1" applyFill="1"/>
    <xf numFmtId="0" fontId="0" fillId="8" borderId="4" xfId="0" applyFill="1" applyBorder="1"/>
    <xf numFmtId="1" fontId="0" fillId="8" borderId="0" xfId="0" applyNumberFormat="1" applyFill="1" applyBorder="1"/>
    <xf numFmtId="165" fontId="0" fillId="8" borderId="0" xfId="0" applyNumberFormat="1" applyFill="1"/>
    <xf numFmtId="1" fontId="0" fillId="7" borderId="4" xfId="0" applyNumberFormat="1" applyFill="1" applyBorder="1"/>
    <xf numFmtId="1" fontId="0" fillId="8" borderId="4" xfId="0" applyNumberFormat="1" applyFill="1" applyBorder="1"/>
    <xf numFmtId="0" fontId="8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4" fontId="0" fillId="0" borderId="0" xfId="0" applyNumberFormat="1" applyFill="1" applyBorder="1"/>
    <xf numFmtId="164" fontId="8" fillId="5" borderId="18" xfId="0" applyNumberFormat="1" applyFont="1" applyFill="1" applyBorder="1" applyProtection="1">
      <protection locked="0"/>
    </xf>
    <xf numFmtId="0" fontId="0" fillId="9" borderId="6" xfId="0" applyFill="1" applyBorder="1"/>
    <xf numFmtId="165" fontId="0" fillId="9" borderId="5" xfId="0" applyNumberFormat="1" applyFill="1" applyBorder="1"/>
    <xf numFmtId="0" fontId="0" fillId="10" borderId="1" xfId="0" applyFill="1" applyBorder="1"/>
    <xf numFmtId="0" fontId="0" fillId="0" borderId="12" xfId="0" applyBorder="1"/>
    <xf numFmtId="0" fontId="0" fillId="0" borderId="15" xfId="0" applyBorder="1"/>
    <xf numFmtId="0" fontId="0" fillId="0" borderId="13" xfId="0" applyBorder="1"/>
    <xf numFmtId="0" fontId="8" fillId="5" borderId="6" xfId="0" applyFont="1" applyFill="1" applyBorder="1" applyAlignment="1" applyProtection="1">
      <alignment horizontal="left"/>
      <protection locked="0"/>
    </xf>
    <xf numFmtId="0" fontId="8" fillId="5" borderId="5" xfId="0" applyFont="1" applyFill="1" applyBorder="1" applyAlignment="1" applyProtection="1">
      <alignment horizontal="left"/>
      <protection locked="0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Font="1" applyAlignment="1">
      <alignment horizontal="center" wrapTex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14" fontId="8" fillId="5" borderId="8" xfId="0" applyNumberFormat="1" applyFont="1" applyFill="1" applyBorder="1" applyAlignment="1" applyProtection="1">
      <alignment horizontal="left"/>
      <protection locked="0"/>
    </xf>
    <xf numFmtId="14" fontId="8" fillId="5" borderId="9" xfId="0" applyNumberFormat="1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/>
    <xf numFmtId="0" fontId="5" fillId="4" borderId="8" xfId="0" applyFont="1" applyFill="1" applyBorder="1" applyAlignment="1"/>
    <xf numFmtId="0" fontId="5" fillId="4" borderId="9" xfId="0" applyFont="1" applyFill="1" applyBorder="1" applyAlignment="1"/>
    <xf numFmtId="0" fontId="5" fillId="3" borderId="2" xfId="0" applyFont="1" applyFill="1" applyBorder="1" applyAlignment="1"/>
    <xf numFmtId="0" fontId="5" fillId="3" borderId="8" xfId="0" applyFont="1" applyFill="1" applyBorder="1" applyAlignment="1"/>
    <xf numFmtId="0" fontId="0" fillId="0" borderId="0" xfId="0" applyBorder="1" applyAlignment="1">
      <alignment horizontal="center"/>
    </xf>
    <xf numFmtId="0" fontId="4" fillId="0" borderId="2" xfId="0" applyFont="1" applyFill="1" applyBorder="1" applyAlignment="1"/>
    <xf numFmtId="0" fontId="4" fillId="0" borderId="8" xfId="0" applyFont="1" applyFill="1" applyBorder="1" applyAlignment="1"/>
    <xf numFmtId="0" fontId="4" fillId="0" borderId="9" xfId="0" applyFont="1" applyFill="1" applyBorder="1" applyAlignment="1"/>
    <xf numFmtId="0" fontId="4" fillId="3" borderId="2" xfId="0" applyFont="1" applyFill="1" applyBorder="1" applyAlignment="1"/>
    <xf numFmtId="0" fontId="4" fillId="3" borderId="8" xfId="0" applyFont="1" applyFill="1" applyBorder="1" applyAlignment="1"/>
    <xf numFmtId="0" fontId="4" fillId="3" borderId="9" xfId="0" applyFont="1" applyFill="1" applyBorder="1" applyAlignment="1"/>
    <xf numFmtId="0" fontId="5" fillId="0" borderId="2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9" fontId="5" fillId="0" borderId="2" xfId="1" applyFont="1" applyBorder="1" applyAlignment="1"/>
    <xf numFmtId="9" fontId="5" fillId="0" borderId="8" xfId="1" applyFont="1" applyBorder="1" applyAlignment="1"/>
    <xf numFmtId="9" fontId="5" fillId="0" borderId="9" xfId="1" applyFont="1" applyBorder="1" applyAlignment="1"/>
    <xf numFmtId="0" fontId="5" fillId="3" borderId="9" xfId="0" applyFont="1" applyFill="1" applyBorder="1" applyAlignment="1"/>
    <xf numFmtId="0" fontId="4" fillId="0" borderId="2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8" fillId="6" borderId="2" xfId="0" applyFont="1" applyFill="1" applyBorder="1" applyAlignment="1"/>
    <xf numFmtId="0" fontId="8" fillId="6" borderId="8" xfId="0" applyFont="1" applyFill="1" applyBorder="1" applyAlignment="1"/>
    <xf numFmtId="0" fontId="8" fillId="6" borderId="9" xfId="0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2" xfId="0" applyBorder="1" applyAlignment="1"/>
    <xf numFmtId="0" fontId="0" fillId="0" borderId="9" xfId="0" applyBorder="1" applyAlignment="1"/>
    <xf numFmtId="0" fontId="0" fillId="3" borderId="1" xfId="0" applyFill="1" applyBorder="1" applyAlignment="1">
      <alignment horizontal="center"/>
    </xf>
    <xf numFmtId="164" fontId="2" fillId="3" borderId="1" xfId="0" applyNumberFormat="1" applyFont="1" applyFill="1" applyBorder="1" applyAlignment="1"/>
    <xf numFmtId="164" fontId="0" fillId="0" borderId="1" xfId="0" applyNumberFormat="1" applyBorder="1" applyAlignment="1"/>
    <xf numFmtId="0" fontId="1" fillId="2" borderId="2" xfId="0" applyFont="1" applyFill="1" applyBorder="1" applyAlignment="1"/>
    <xf numFmtId="0" fontId="1" fillId="2" borderId="9" xfId="0" applyFont="1" applyFill="1" applyBorder="1" applyAlignment="1"/>
    <xf numFmtId="0" fontId="0" fillId="0" borderId="14" xfId="0" applyBorder="1" applyAlignment="1"/>
    <xf numFmtId="0" fontId="0" fillId="0" borderId="11" xfId="0" applyBorder="1" applyAlignment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0" fontId="2" fillId="3" borderId="2" xfId="0" applyFont="1" applyFill="1" applyBorder="1" applyAlignment="1"/>
    <xf numFmtId="0" fontId="2" fillId="3" borderId="9" xfId="0" applyFont="1" applyFill="1" applyBorder="1" applyAlignment="1"/>
    <xf numFmtId="9" fontId="0" fillId="0" borderId="2" xfId="1" applyFont="1" applyBorder="1" applyAlignment="1"/>
    <xf numFmtId="9" fontId="0" fillId="0" borderId="9" xfId="1" applyFont="1" applyBorder="1" applyAlignment="1"/>
    <xf numFmtId="0" fontId="2" fillId="3" borderId="7" xfId="0" applyFont="1" applyFill="1" applyBorder="1" applyAlignment="1"/>
    <xf numFmtId="0" fontId="2" fillId="3" borderId="6" xfId="0" applyFont="1" applyFill="1" applyBorder="1" applyAlignment="1"/>
    <xf numFmtId="0" fontId="0" fillId="0" borderId="8" xfId="0" applyBorder="1" applyAlignmen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/>
    <xf numFmtId="0" fontId="0" fillId="0" borderId="6" xfId="0" applyBorder="1" applyAlignment="1"/>
  </cellXfs>
  <cellStyles count="2">
    <cellStyle name="Prozent" xfId="1" builtinId="5"/>
    <cellStyle name="Standard" xfId="0" builtinId="0"/>
  </cellStyles>
  <dxfs count="3">
    <dxf>
      <font>
        <color theme="0"/>
      </font>
      <fill>
        <patternFill>
          <fgColor auto="1"/>
          <bgColor rgb="FFFF0000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CAT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3"/>
            <c:bubble3D val="0"/>
            <c:spPr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23-4FA8-A821-F9297ED9167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9F-4A28-82D4-66202410E1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9F-4A28-82D4-66202410E1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23-4FA8-A821-F9297ED9167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9F-4A28-82D4-66202410E1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9F-4A28-82D4-66202410E1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Flugzeugdaten!$K$3:$K$8</c:f>
              <c:numCache>
                <c:formatCode>0.000</c:formatCode>
                <c:ptCount val="6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  <c:pt idx="5">
                  <c:v>0.20499999999999999</c:v>
                </c:pt>
              </c:numCache>
            </c:numRef>
          </c:xVal>
          <c:yVal>
            <c:numRef>
              <c:f>Flugzeugdaten!$J$3:$J$8</c:f>
              <c:numCache>
                <c:formatCode>0</c:formatCode>
                <c:ptCount val="6"/>
                <c:pt idx="0">
                  <c:v>650</c:v>
                </c:pt>
                <c:pt idx="1">
                  <c:v>750</c:v>
                </c:pt>
                <c:pt idx="2">
                  <c:v>950</c:v>
                </c:pt>
                <c:pt idx="3">
                  <c:v>950</c:v>
                </c:pt>
                <c:pt idx="4">
                  <c:v>650</c:v>
                </c:pt>
                <c:pt idx="5">
                  <c:v>650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36-40F1-BFC6-1FEA3671DD79}"/>
            </c:ext>
          </c:extLst>
        </c:ser>
        <c:ser>
          <c:idx val="4"/>
          <c:order val="1"/>
          <c:tx>
            <c:v>CAT N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9F-4A28-82D4-66202410E1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9F-4A28-82D4-66202410E1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9F-4A28-82D4-66202410E1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9F-4A28-82D4-66202410E1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9F-4A28-82D4-66202410E1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Flugzeugdaten!$K$9:$K$14</c:f>
              <c:numCache>
                <c:formatCode>0.000</c:formatCode>
                <c:ptCount val="6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  <c:pt idx="5">
                  <c:v>0.20499999999999999</c:v>
                </c:pt>
              </c:numCache>
            </c:numRef>
          </c:xVal>
          <c:yVal>
            <c:numRef>
              <c:f>Flugzeugdaten!$J$9:$J$14</c:f>
              <c:numCache>
                <c:formatCode>0</c:formatCode>
                <c:ptCount val="6"/>
                <c:pt idx="0">
                  <c:v>650</c:v>
                </c:pt>
                <c:pt idx="1">
                  <c:v>750</c:v>
                </c:pt>
                <c:pt idx="2">
                  <c:v>1100</c:v>
                </c:pt>
                <c:pt idx="3">
                  <c:v>1100</c:v>
                </c:pt>
                <c:pt idx="4">
                  <c:v>650</c:v>
                </c:pt>
                <c:pt idx="5">
                  <c:v>650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23-4FA8-A821-F9297ED91674}"/>
            </c:ext>
          </c:extLst>
        </c:ser>
        <c:ser>
          <c:idx val="1"/>
          <c:order val="2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36-40F1-BFC6-1FEA3671DD79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Flugzeugdaten!$I$8:$I$18</c:f>
              <c:numCache>
                <c:formatCode>0.000</c:formatCode>
                <c:ptCount val="11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  <c:pt idx="5">
                  <c:v>0.20499999999999999</c:v>
                </c:pt>
                <c:pt idx="6">
                  <c:v>0.20499999999999999</c:v>
                </c:pt>
                <c:pt idx="7">
                  <c:v>0.42799999999999999</c:v>
                </c:pt>
                <c:pt idx="8">
                  <c:v>0.56399999999999995</c:v>
                </c:pt>
                <c:pt idx="9">
                  <c:v>0.56399999999999995</c:v>
                </c:pt>
              </c:numCache>
            </c:numRef>
          </c:xVal>
          <c:yVal>
            <c:numRef>
              <c:f>(Flugzeugdaten!$P$4,Flugzeugdaten!$P$4,Flugzeugdaten!$P$4,Flugzeugdaten!$P$4,Flugzeugdaten!$P$4,Flugzeugdaten!$P$4)</c:f>
              <c:numCache>
                <c:formatCode>0</c:formatCode>
                <c:ptCount val="6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36-40F1-BFC6-1FEA3671DD79}"/>
            </c:ext>
          </c:extLst>
        </c:ser>
        <c:ser>
          <c:idx val="2"/>
          <c:order val="3"/>
          <c:tx>
            <c:v>y-Achse</c:v>
          </c:tx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(Flugzeugdaten!$R$5,Flugzeugdaten!$R$5,Flugzeugdaten!$R$5,Flugzeugdaten!$R$5,Flugzeugdaten!$R$5,Flugzeugdaten!$R$5,Flugzeugdaten!$R$5,Flugzeugdaten!$R$5)</c:f>
              <c:numCache>
                <c:formatCode>0.000</c:formatCode>
                <c:ptCount val="8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</c:numCache>
            </c:numRef>
          </c:xVal>
          <c:yVal>
            <c:numRef>
              <c:f>(Flugzeugdaten!$J$3,Flugzeugdaten!$J$4,Flugzeugdaten!$J$5,Flugzeugdaten!$J$11,Flugzeugdaten!$G$6)</c:f>
              <c:numCache>
                <c:formatCode>0</c:formatCode>
                <c:ptCount val="5"/>
                <c:pt idx="0">
                  <c:v>650</c:v>
                </c:pt>
                <c:pt idx="1">
                  <c:v>750</c:v>
                </c:pt>
                <c:pt idx="2">
                  <c:v>950</c:v>
                </c:pt>
                <c:pt idx="3">
                  <c:v>1100</c:v>
                </c:pt>
                <c:pt idx="4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36-40F1-BFC6-1FEA3671DD79}"/>
            </c:ext>
          </c:extLst>
        </c:ser>
        <c:ser>
          <c:idx val="3"/>
          <c:order val="4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0C0957FA-ED76-4FF7-A743-E9FDA4DBC36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836-40F1-BFC6-1FEA3671DD7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F2900A6-6CFA-4BE9-8ECF-85BCAFCDDCE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836-40F1-BFC6-1FEA3671DD7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C9D5FB6-334F-416B-940D-3E1EE2F5F1C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836-40F1-BFC6-1FEA3671DD79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(Druckansicht!$F$17,Druckansicht!$F$19,Druckansicht!$F$12)</c:f>
              <c:numCache>
                <c:formatCode>0.000</c:formatCode>
                <c:ptCount val="3"/>
                <c:pt idx="0">
                  <c:v>0.35271722056241717</c:v>
                </c:pt>
                <c:pt idx="1">
                  <c:v>0.35271722056241717</c:v>
                </c:pt>
                <c:pt idx="2">
                  <c:v>0.35610530189199957</c:v>
                </c:pt>
              </c:numCache>
            </c:numRef>
          </c:xVal>
          <c:yVal>
            <c:numRef>
              <c:f>(Druckansicht!$D$17,Druckansicht!$D$19,Druckansicht!$D$12)</c:f>
              <c:numCache>
                <c:formatCode>0.0</c:formatCode>
                <c:ptCount val="3"/>
                <c:pt idx="0">
                  <c:v>649.34</c:v>
                </c:pt>
                <c:pt idx="1">
                  <c:v>649.34</c:v>
                </c:pt>
                <c:pt idx="2">
                  <c:v>652.22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Flugzeugdaten!$O$12:$O$14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A836-40F1-BFC6-1FEA3671DD79}"/>
            </c:ext>
          </c:extLst>
        </c:ser>
        <c:ser>
          <c:idx val="5"/>
          <c:order val="5"/>
          <c:tx>
            <c:v>max. Landemasse CAT N</c:v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9F-4A28-82D4-66202410E1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Flugzeugdaten!$R$8:$R$9</c:f>
              <c:numCache>
                <c:formatCode>0.000</c:formatCode>
                <c:ptCount val="2"/>
                <c:pt idx="0" formatCode="General">
                  <c:v>0.39300000000000002</c:v>
                </c:pt>
                <c:pt idx="1">
                  <c:v>0.56399999999999995</c:v>
                </c:pt>
              </c:numCache>
            </c:numRef>
          </c:xVal>
          <c:yVal>
            <c:numRef>
              <c:f>Flugzeugdaten!$P$8:$P$9</c:f>
              <c:numCache>
                <c:formatCode>0</c:formatCode>
                <c:ptCount val="2"/>
                <c:pt idx="0">
                  <c:v>1045</c:v>
                </c:pt>
                <c:pt idx="1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9F-4A28-82D4-66202410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39556986411181361"/>
              <c:y val="0.96171314016647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in val="60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33287649385E-2"/>
              <c:y val="0.523287558697784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CAT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3"/>
            <c:bubble3D val="0"/>
            <c:spPr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348-470A-A0F8-3091384722B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48-470A-A0F8-3091384722B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48-470A-A0F8-3091384722B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48-470A-A0F8-3091384722B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48-470A-A0F8-3091384722B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48-470A-A0F8-3091384722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Flugzeugdaten!$K$3:$K$8</c:f>
              <c:numCache>
                <c:formatCode>0.000</c:formatCode>
                <c:ptCount val="6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  <c:pt idx="5">
                  <c:v>0.20499999999999999</c:v>
                </c:pt>
              </c:numCache>
            </c:numRef>
          </c:xVal>
          <c:yVal>
            <c:numRef>
              <c:f>Flugzeugdaten!$J$3:$J$8</c:f>
              <c:numCache>
                <c:formatCode>0</c:formatCode>
                <c:ptCount val="6"/>
                <c:pt idx="0">
                  <c:v>650</c:v>
                </c:pt>
                <c:pt idx="1">
                  <c:v>750</c:v>
                </c:pt>
                <c:pt idx="2">
                  <c:v>950</c:v>
                </c:pt>
                <c:pt idx="3">
                  <c:v>950</c:v>
                </c:pt>
                <c:pt idx="4">
                  <c:v>650</c:v>
                </c:pt>
                <c:pt idx="5">
                  <c:v>650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48-470A-A0F8-3091384722B5}"/>
            </c:ext>
          </c:extLst>
        </c:ser>
        <c:ser>
          <c:idx val="4"/>
          <c:order val="1"/>
          <c:tx>
            <c:v>CAT N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48-470A-A0F8-3091384722B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48-470A-A0F8-3091384722B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48-470A-A0F8-3091384722B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48-470A-A0F8-3091384722B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48-470A-A0F8-3091384722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Flugzeugdaten!$K$9:$K$14</c:f>
              <c:numCache>
                <c:formatCode>0.000</c:formatCode>
                <c:ptCount val="6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  <c:pt idx="5">
                  <c:v>0.20499999999999999</c:v>
                </c:pt>
              </c:numCache>
            </c:numRef>
          </c:xVal>
          <c:yVal>
            <c:numRef>
              <c:f>Flugzeugdaten!$J$9:$J$14</c:f>
              <c:numCache>
                <c:formatCode>0</c:formatCode>
                <c:ptCount val="6"/>
                <c:pt idx="0">
                  <c:v>650</c:v>
                </c:pt>
                <c:pt idx="1">
                  <c:v>750</c:v>
                </c:pt>
                <c:pt idx="2">
                  <c:v>1100</c:v>
                </c:pt>
                <c:pt idx="3">
                  <c:v>1100</c:v>
                </c:pt>
                <c:pt idx="4">
                  <c:v>650</c:v>
                </c:pt>
                <c:pt idx="5">
                  <c:v>650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348-470A-A0F8-3091384722B5}"/>
            </c:ext>
          </c:extLst>
        </c:ser>
        <c:ser>
          <c:idx val="1"/>
          <c:order val="2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48-470A-A0F8-3091384722B5}"/>
                </c:ext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Flugzeugdaten!$I$8:$I$18</c:f>
              <c:numCache>
                <c:formatCode>0.000</c:formatCode>
                <c:ptCount val="11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  <c:pt idx="5">
                  <c:v>0.20499999999999999</c:v>
                </c:pt>
                <c:pt idx="6">
                  <c:v>0.20499999999999999</c:v>
                </c:pt>
                <c:pt idx="7">
                  <c:v>0.42799999999999999</c:v>
                </c:pt>
                <c:pt idx="8">
                  <c:v>0.56399999999999995</c:v>
                </c:pt>
                <c:pt idx="9">
                  <c:v>0.56399999999999995</c:v>
                </c:pt>
              </c:numCache>
            </c:numRef>
          </c:xVal>
          <c:yVal>
            <c:numRef>
              <c:f>(Flugzeugdaten!$P$4,Flugzeugdaten!$P$4,Flugzeugdaten!$P$4,Flugzeugdaten!$P$4,Flugzeugdaten!$P$4,Flugzeugdaten!$P$4)</c:f>
              <c:numCache>
                <c:formatCode>0</c:formatCode>
                <c:ptCount val="6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348-470A-A0F8-3091384722B5}"/>
            </c:ext>
          </c:extLst>
        </c:ser>
        <c:ser>
          <c:idx val="2"/>
          <c:order val="3"/>
          <c:tx>
            <c:v>y-Achse</c:v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(Flugzeugdaten!$R$5,Flugzeugdaten!$R$5,Flugzeugdaten!$R$5,Flugzeugdaten!$R$5,Flugzeugdaten!$R$5,Flugzeugdaten!$R$5,Flugzeugdaten!$R$5,Flugzeugdaten!$R$5)</c:f>
              <c:numCache>
                <c:formatCode>0.000</c:formatCode>
                <c:ptCount val="8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</c:numCache>
            </c:numRef>
          </c:xVal>
          <c:yVal>
            <c:numRef>
              <c:f>(Flugzeugdaten!$J$3,Flugzeugdaten!$J$4,Flugzeugdaten!$J$5,Flugzeugdaten!$J$11,Flugzeugdaten!$G$6)</c:f>
              <c:numCache>
                <c:formatCode>0</c:formatCode>
                <c:ptCount val="5"/>
                <c:pt idx="0">
                  <c:v>650</c:v>
                </c:pt>
                <c:pt idx="1">
                  <c:v>750</c:v>
                </c:pt>
                <c:pt idx="2">
                  <c:v>950</c:v>
                </c:pt>
                <c:pt idx="3">
                  <c:v>1100</c:v>
                </c:pt>
                <c:pt idx="4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348-470A-A0F8-3091384722B5}"/>
            </c:ext>
          </c:extLst>
        </c:ser>
        <c:ser>
          <c:idx val="3"/>
          <c:order val="4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B32B8AE0-ED72-46E7-94EF-FDDA41CDECE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348-470A-A0F8-3091384722B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276761C-1461-486B-9A37-88984D21D3B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348-470A-A0F8-3091384722B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9523970-DCB4-4CF8-A92D-70741E3D3C5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348-470A-A0F8-3091384722B5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(Druckansicht!$F$17,Druckansicht!$F$19,Druckansicht!$F$12)</c:f>
              <c:numCache>
                <c:formatCode>0.000</c:formatCode>
                <c:ptCount val="3"/>
                <c:pt idx="0">
                  <c:v>0.35271722056241717</c:v>
                </c:pt>
                <c:pt idx="1">
                  <c:v>0.35271722056241717</c:v>
                </c:pt>
                <c:pt idx="2">
                  <c:v>0.35610530189199957</c:v>
                </c:pt>
              </c:numCache>
            </c:numRef>
          </c:xVal>
          <c:yVal>
            <c:numRef>
              <c:f>(Druckansicht!$D$17,Druckansicht!$D$19,Druckansicht!$D$12)</c:f>
              <c:numCache>
                <c:formatCode>0.0</c:formatCode>
                <c:ptCount val="3"/>
                <c:pt idx="0">
                  <c:v>649.34</c:v>
                </c:pt>
                <c:pt idx="1">
                  <c:v>649.34</c:v>
                </c:pt>
                <c:pt idx="2">
                  <c:v>652.22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Flugzeugdaten!$O$12:$O$14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6348-470A-A0F8-3091384722B5}"/>
            </c:ext>
          </c:extLst>
        </c:ser>
        <c:ser>
          <c:idx val="5"/>
          <c:order val="5"/>
          <c:tx>
            <c:v>max. Landemasse CAT N</c:v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48-470A-A0F8-3091384722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Flugzeugdaten!$R$8:$R$9</c:f>
              <c:numCache>
                <c:formatCode>0.000</c:formatCode>
                <c:ptCount val="2"/>
                <c:pt idx="0" formatCode="General">
                  <c:v>0.39300000000000002</c:v>
                </c:pt>
                <c:pt idx="1">
                  <c:v>0.56399999999999995</c:v>
                </c:pt>
              </c:numCache>
            </c:numRef>
          </c:xVal>
          <c:yVal>
            <c:numRef>
              <c:f>Flugzeugdaten!$P$8:$P$9</c:f>
              <c:numCache>
                <c:formatCode>0</c:formatCode>
                <c:ptCount val="2"/>
                <c:pt idx="0">
                  <c:v>1045</c:v>
                </c:pt>
                <c:pt idx="1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348-470A-A0F8-309138472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39556986411181361"/>
              <c:y val="0.96171314016647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in val="60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33287649385E-2"/>
              <c:y val="0.523287558697784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0</xdr:rowOff>
    </xdr:from>
    <xdr:to>
      <xdr:col>12</xdr:col>
      <xdr:colOff>742950</xdr:colOff>
      <xdr:row>25</xdr:row>
      <xdr:rowOff>88656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9525</xdr:rowOff>
    </xdr:from>
    <xdr:to>
      <xdr:col>7</xdr:col>
      <xdr:colOff>0</xdr:colOff>
      <xdr:row>47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1"/>
  </sheetPr>
  <dimension ref="A1:N28"/>
  <sheetViews>
    <sheetView showGridLines="0" showRowColHeaders="0" tabSelected="1" zoomScaleNormal="100" workbookViewId="0">
      <selection activeCell="C5" sqref="C5"/>
    </sheetView>
  </sheetViews>
  <sheetFormatPr baseColWidth="10" defaultColWidth="11.42578125" defaultRowHeight="15" x14ac:dyDescent="0.25"/>
  <cols>
    <col min="1" max="1" width="15.28515625" customWidth="1"/>
    <col min="2" max="3" width="11.42578125" customWidth="1"/>
    <col min="4" max="4" width="12" customWidth="1"/>
    <col min="5" max="7" width="11.42578125" customWidth="1"/>
  </cols>
  <sheetData>
    <row r="1" spans="1:14" ht="26.25" x14ac:dyDescent="0.4">
      <c r="A1" s="91" t="str">
        <f>Druckansicht!$A$1</f>
        <v>D-EUPS</v>
      </c>
      <c r="B1" s="91"/>
      <c r="C1" s="91"/>
      <c r="D1" s="92" t="str">
        <f>Druckansicht!$B$1</f>
        <v>Masse &amp; Schwerpunkt Berechnung</v>
      </c>
      <c r="E1" s="92"/>
      <c r="F1" s="92"/>
      <c r="G1" s="92"/>
      <c r="H1" s="92"/>
      <c r="I1" s="92"/>
      <c r="J1" s="89" t="str">
        <f>Druckansicht!$F$1</f>
        <v>Luftfahrtverein Mainz e.V.</v>
      </c>
      <c r="K1" s="89"/>
      <c r="L1" s="89"/>
      <c r="M1" s="72"/>
      <c r="N1" s="72"/>
    </row>
    <row r="2" spans="1:14" ht="18.75" customHeight="1" x14ac:dyDescent="0.3">
      <c r="A2" s="46" t="str">
        <f>Druckansicht!$A$2</f>
        <v>Robin DR401</v>
      </c>
      <c r="B2" s="90" t="str">
        <f>Druckansicht!$A$48</f>
        <v>Kein Ersatz für die im Flughandbuch beschriebene Berechnung. Alle Angaben ohne Gewähr.</v>
      </c>
      <c r="C2" s="90"/>
      <c r="D2" s="90"/>
      <c r="E2" s="90"/>
      <c r="F2" s="90"/>
      <c r="G2" s="90"/>
      <c r="H2" s="90"/>
      <c r="I2" s="90"/>
      <c r="J2" s="89" t="str">
        <f>Druckansicht!$F$2</f>
        <v>Wägedaten vom 31.05.2021</v>
      </c>
      <c r="K2" s="89"/>
      <c r="L2" s="89"/>
      <c r="M2" s="72"/>
      <c r="N2" s="72"/>
    </row>
    <row r="3" spans="1:14" x14ac:dyDescent="0.25">
      <c r="A3" s="11"/>
      <c r="B3" s="11"/>
      <c r="C3" s="11"/>
      <c r="D3" s="11"/>
      <c r="E3" s="11"/>
    </row>
    <row r="4" spans="1:14" ht="18.75" x14ac:dyDescent="0.3">
      <c r="A4" s="87" t="s">
        <v>0</v>
      </c>
      <c r="B4" s="88"/>
      <c r="C4" s="88"/>
      <c r="D4" s="88"/>
      <c r="E4" s="93"/>
      <c r="H4" t="s">
        <v>1</v>
      </c>
      <c r="L4" t="s">
        <v>2</v>
      </c>
    </row>
    <row r="5" spans="1:14" ht="18.75" x14ac:dyDescent="0.3">
      <c r="A5" s="32" t="s">
        <v>3</v>
      </c>
      <c r="B5" s="23" t="s">
        <v>4</v>
      </c>
      <c r="C5" s="37" t="s">
        <v>5</v>
      </c>
      <c r="D5" s="38" t="s">
        <v>6</v>
      </c>
      <c r="E5" s="26" t="s">
        <v>5</v>
      </c>
      <c r="F5" s="10"/>
    </row>
    <row r="6" spans="1:14" ht="18.75" x14ac:dyDescent="0.3">
      <c r="A6" s="33" t="s">
        <v>7</v>
      </c>
      <c r="B6" s="94">
        <f ca="1">TODAY()</f>
        <v>44366</v>
      </c>
      <c r="C6" s="94"/>
      <c r="D6" s="94"/>
      <c r="E6" s="95"/>
      <c r="F6" s="10"/>
    </row>
    <row r="7" spans="1:14" ht="18.75" x14ac:dyDescent="0.3">
      <c r="A7" s="34" t="s">
        <v>8</v>
      </c>
      <c r="B7" s="85"/>
      <c r="C7" s="85"/>
      <c r="D7" s="85"/>
      <c r="E7" s="86"/>
      <c r="F7" s="10"/>
    </row>
    <row r="8" spans="1:14" x14ac:dyDescent="0.25">
      <c r="A8" s="11"/>
      <c r="B8" s="41"/>
    </row>
    <row r="9" spans="1:14" ht="18.75" x14ac:dyDescent="0.3">
      <c r="A9" s="87" t="s">
        <v>9</v>
      </c>
      <c r="B9" s="88"/>
      <c r="C9" s="88"/>
      <c r="D9" s="88"/>
      <c r="E9" s="35" t="s">
        <v>10</v>
      </c>
    </row>
    <row r="10" spans="1:14" ht="18.75" x14ac:dyDescent="0.3">
      <c r="A10" s="96" t="s">
        <v>11</v>
      </c>
      <c r="B10" s="97"/>
      <c r="C10" s="98"/>
      <c r="D10" s="22"/>
      <c r="E10" s="22"/>
    </row>
    <row r="11" spans="1:14" ht="18.75" x14ac:dyDescent="0.3">
      <c r="A11" s="99" t="s">
        <v>12</v>
      </c>
      <c r="B11" s="100"/>
      <c r="C11" s="100"/>
      <c r="D11" s="78"/>
      <c r="E11" s="22"/>
    </row>
    <row r="12" spans="1:14" ht="18.75" x14ac:dyDescent="0.3">
      <c r="A12" s="96" t="str">
        <f>Druckansicht!A11</f>
        <v>Gepäck (max. 60 kg)</v>
      </c>
      <c r="B12" s="97"/>
      <c r="C12" s="97"/>
      <c r="D12" s="55"/>
      <c r="E12" s="22"/>
    </row>
    <row r="13" spans="1:14" ht="18.75" x14ac:dyDescent="0.3">
      <c r="A13" s="12"/>
      <c r="B13" s="12"/>
      <c r="C13" s="36"/>
      <c r="D13" s="12"/>
      <c r="E13" s="12"/>
    </row>
    <row r="14" spans="1:14" ht="18.75" x14ac:dyDescent="0.3">
      <c r="A14" s="87" t="s">
        <v>13</v>
      </c>
      <c r="B14" s="88"/>
      <c r="C14" s="88"/>
      <c r="D14" s="88"/>
      <c r="E14" s="35" t="s">
        <v>14</v>
      </c>
    </row>
    <row r="15" spans="1:14" ht="18.75" x14ac:dyDescent="0.3">
      <c r="A15" s="108" t="str">
        <f>Druckansicht!A13</f>
        <v>Treibstoff Haupttank (max. 109 L)</v>
      </c>
      <c r="B15" s="109"/>
      <c r="C15" s="109"/>
      <c r="D15" s="110"/>
      <c r="E15" s="22"/>
    </row>
    <row r="16" spans="1:14" ht="18.75" x14ac:dyDescent="0.3">
      <c r="A16" s="99" t="str">
        <f>Druckansicht!A14</f>
        <v>Treibstoff Flügeltanks (max. 80 L)</v>
      </c>
      <c r="B16" s="100"/>
      <c r="C16" s="100"/>
      <c r="D16" s="114"/>
      <c r="E16" s="22"/>
    </row>
    <row r="17" spans="1:5" ht="18.75" x14ac:dyDescent="0.3">
      <c r="A17" s="111" t="str">
        <f>Druckansicht!A16</f>
        <v>Treibstoff für Anlassen &amp; Rollen</v>
      </c>
      <c r="B17" s="112"/>
      <c r="C17" s="112"/>
      <c r="D17" s="113"/>
      <c r="E17" s="22">
        <v>4</v>
      </c>
    </row>
    <row r="18" spans="1:5" ht="18.75" x14ac:dyDescent="0.3">
      <c r="A18" s="99" t="str">
        <f>Druckansicht!A18</f>
        <v>Treibstoff für Flugstrecke</v>
      </c>
      <c r="B18" s="100"/>
      <c r="C18" s="100"/>
      <c r="D18" s="114"/>
      <c r="E18" s="22"/>
    </row>
    <row r="20" spans="1:5" ht="18.75" x14ac:dyDescent="0.3">
      <c r="A20" s="87" t="s">
        <v>15</v>
      </c>
      <c r="B20" s="88"/>
      <c r="C20" s="88"/>
      <c r="D20" s="88"/>
      <c r="E20" s="93"/>
    </row>
    <row r="21" spans="1:5" ht="18.75" x14ac:dyDescent="0.3">
      <c r="A21" s="118"/>
      <c r="B21" s="119"/>
      <c r="C21" s="120"/>
      <c r="D21" s="39" t="s">
        <v>16</v>
      </c>
      <c r="E21" s="40" t="s">
        <v>17</v>
      </c>
    </row>
    <row r="22" spans="1:5" ht="18.75" x14ac:dyDescent="0.3">
      <c r="A22" s="102" t="str">
        <f>Druckansicht!A17</f>
        <v>Startmasse   (max 950kg U / 1100kg N)</v>
      </c>
      <c r="B22" s="103"/>
      <c r="C22" s="104"/>
      <c r="D22" s="56">
        <f>Druckansicht!D17</f>
        <v>649.34</v>
      </c>
      <c r="E22" s="57">
        <f>Druckansicht!F17</f>
        <v>0.35271722056241717</v>
      </c>
    </row>
    <row r="23" spans="1:5" ht="18.75" x14ac:dyDescent="0.3">
      <c r="A23" s="105" t="str">
        <f>Druckansicht!A19</f>
        <v>Landemasse (max 950kg U / 1045kg N)</v>
      </c>
      <c r="B23" s="106"/>
      <c r="C23" s="107"/>
      <c r="D23" s="58">
        <f>Druckansicht!D19</f>
        <v>649.34</v>
      </c>
      <c r="E23" s="59">
        <f>Druckansicht!F19</f>
        <v>0.35271722056241717</v>
      </c>
    </row>
    <row r="24" spans="1:5" ht="18.75" x14ac:dyDescent="0.3">
      <c r="A24" s="115" t="str">
        <f>Druckansicht!A12</f>
        <v>Flugmasse ohne Treibstoff</v>
      </c>
      <c r="B24" s="116"/>
      <c r="C24" s="117"/>
      <c r="D24" s="13">
        <f>Druckansicht!D12</f>
        <v>652.22</v>
      </c>
      <c r="E24" s="14">
        <f>Druckansicht!F12</f>
        <v>0.35610530189199957</v>
      </c>
    </row>
    <row r="26" spans="1:5" ht="18.75" x14ac:dyDescent="0.3">
      <c r="A26" s="87" t="s">
        <v>80</v>
      </c>
      <c r="B26" s="88"/>
      <c r="C26" s="88"/>
      <c r="D26" s="121" t="str">
        <f>IF(AND($D$22 &gt;= Flugzeugdaten!$P$3, $D$22 &lt;= Flugzeugdaten!$G$3, $D$23 &gt;= Flugzeugdaten!$P$3, $D$23 &lt;= Flugzeugdaten!$G$4, $D$24 &gt;= Flugzeugdaten!$P$3, $D$24 &lt;= Flugzeugdaten!$G$4, $E$22 &gt;= Flugzeugdaten!$Q$12, $E$22 &lt;= Flugzeugdaten!$R$12, $E$23 &gt;= Flugzeugdaten!$Q$13, $E$23 &lt;= Flugzeugdaten!$R$13, $E$24 &gt;= Flugzeugdaten!$Q$14, $E$24 &lt;= Flugzeugdaten!$R$14, $D$11 = 0, $E$11 = 0),"Utility", IF(AND($D$22 &gt;= Flugzeugdaten!$P$3, $D$22 &lt;= Flugzeugdaten!$G$5, $D$23 &gt;= Flugzeugdaten!$P$3, $D$23 &lt;= Flugzeugdaten!$G$6, $D$24 &gt;= Flugzeugdaten!$P$3, $D$24 &lt;= Flugzeugdaten!$G$6, $E$22 &gt;= Flugzeugdaten!$S$12, $E$22 &lt;= Flugzeugdaten!$R$12, $E$23 &gt;= Flugzeugdaten!$S$13, $E$23 &lt;= Flugzeugdaten!$R$13, $E$24 &gt;= Flugzeugdaten!$S$14, $E$24 &lt;= Flugzeugdaten!$R$14),"Normal",IF($D$24 = Flugzeugdaten!$A$6,"","Außer Limit!")))</f>
        <v/>
      </c>
      <c r="E26" s="122"/>
    </row>
    <row r="28" spans="1:5" x14ac:dyDescent="0.25">
      <c r="A28" s="101" t="s">
        <v>18</v>
      </c>
      <c r="B28" s="101"/>
      <c r="C28" s="101"/>
      <c r="D28" s="101"/>
      <c r="E28" s="101"/>
    </row>
  </sheetData>
  <sheetProtection sheet="1" selectLockedCells="1"/>
  <mergeCells count="25">
    <mergeCell ref="A28:E28"/>
    <mergeCell ref="A22:C22"/>
    <mergeCell ref="A23:C23"/>
    <mergeCell ref="A15:D15"/>
    <mergeCell ref="A17:D17"/>
    <mergeCell ref="A18:D18"/>
    <mergeCell ref="A20:E20"/>
    <mergeCell ref="A24:C24"/>
    <mergeCell ref="A21:C21"/>
    <mergeCell ref="A16:D16"/>
    <mergeCell ref="A26:C26"/>
    <mergeCell ref="D26:E26"/>
    <mergeCell ref="B7:E7"/>
    <mergeCell ref="A14:D14"/>
    <mergeCell ref="J2:L2"/>
    <mergeCell ref="J1:L1"/>
    <mergeCell ref="B2:I2"/>
    <mergeCell ref="A1:C1"/>
    <mergeCell ref="D1:I1"/>
    <mergeCell ref="A4:E4"/>
    <mergeCell ref="B6:E6"/>
    <mergeCell ref="A9:D9"/>
    <mergeCell ref="A10:C10"/>
    <mergeCell ref="A11:C11"/>
    <mergeCell ref="A12:C12"/>
  </mergeCells>
  <conditionalFormatting sqref="D26:E26">
    <cfRule type="cellIs" dxfId="2" priority="3" operator="equal">
      <formula>"Utility"</formula>
    </cfRule>
    <cfRule type="cellIs" dxfId="1" priority="2" operator="equal">
      <formula>"Normal"</formula>
    </cfRule>
    <cfRule type="cellIs" dxfId="0" priority="1" operator="equal">
      <formula>"Außer Limit!"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CD3A8041-2881-41CD-81A5-94814CA7C7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E17</xm:sqref>
        </x14:conditionalFormatting>
        <x14:conditionalFormatting xmlns:xm="http://schemas.microsoft.com/office/excel/2006/main">
          <x14:cfRule type="iconSet" priority="16" id="{5CAB03A7-91A6-464C-B62E-BF38BEB7500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D10:E10</xm:sqref>
        </x14:conditionalFormatting>
        <x14:conditionalFormatting xmlns:xm="http://schemas.microsoft.com/office/excel/2006/main">
          <x14:cfRule type="iconSet" priority="15" id="{7ACBEE78-5990-428B-AC1A-D5AAA1C6737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D11</xm:sqref>
        </x14:conditionalFormatting>
        <x14:conditionalFormatting xmlns:xm="http://schemas.microsoft.com/office/excel/2006/main">
          <x14:cfRule type="iconSet" priority="14" id="{DE386E4B-92EC-4898-8908-6CEF7C0CB0F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E11</xm:sqref>
        </x14:conditionalFormatting>
        <x14:conditionalFormatting xmlns:xm="http://schemas.microsoft.com/office/excel/2006/main">
          <x14:cfRule type="iconSet" priority="52" id="{D64BFDFD-0E8A-4495-9145-267D83350995}">
            <x14:iconSet custom="1">
              <x14:cfvo type="percent">
                <xm:f>0</xm:f>
              </x14:cfvo>
              <x14:cfvo type="formula" gte="0">
                <xm:f>Flugzeugdaten!$G$3</xm:f>
              </x14:cfvo>
              <x14:cfvo type="formula" gte="0">
                <xm:f>Flugzeugdaten!$G$5</xm:f>
              </x14:cfvo>
              <x14:cfIcon iconSet="NoIcons" iconId="0"/>
              <x14:cfIcon iconSet="3Symbols" iconId="1"/>
              <x14:cfIcon iconSet="3Symbols" iconId="0"/>
            </x14:iconSet>
          </x14:cfRule>
          <xm:sqref>D22</xm:sqref>
        </x14:conditionalFormatting>
        <x14:conditionalFormatting xmlns:xm="http://schemas.microsoft.com/office/excel/2006/main">
          <x14:cfRule type="iconSet" priority="76" id="{EBCD120E-9CB9-48B8-BDE9-70749AC5640E}">
            <x14:iconSet iconSet="4TrafficLights" custom="1">
              <x14:cfvo type="percent">
                <xm:f>0</xm:f>
              </x14:cfvo>
              <x14:cfvo type="formula">
                <xm:f>Flugzeugdaten!$S$12</xm:f>
              </x14:cfvo>
              <x14:cfvo type="formula">
                <xm:f>Flugzeugdaten!$Q$12</xm:f>
              </x14:cfvo>
              <x14:cfvo type="formula" gte="0">
                <xm:f>Flugzeugdaten!$R$12</xm:f>
              </x14:cfvo>
              <x14:cfIcon iconSet="3Symbols" iconId="0"/>
              <x14:cfIcon iconSet="3Symbols" iconId="1"/>
              <x14:cfIcon iconSet="NoIcons" iconId="0"/>
              <x14:cfIcon iconSet="3Symbols" iconId="0"/>
            </x14:iconSet>
          </x14:cfRule>
          <xm:sqref>E22</xm:sqref>
        </x14:conditionalFormatting>
        <x14:conditionalFormatting xmlns:xm="http://schemas.microsoft.com/office/excel/2006/main">
          <x14:cfRule type="iconSet" priority="92" id="{E8A6CA9B-2003-4302-B048-DDD422F1E9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formula" gte="0">
                <xm:f>Flugzeugdaten!$G$7</xm:f>
              </x14:cfvo>
              <x14:cfIcon iconSet="3Symbols" iconId="0"/>
              <x14:cfIcon iconSet="NoIcons" iconId="0"/>
              <x14:cfIcon iconSet="3Symbols" iconId="0"/>
            </x14:iconSet>
          </x14:cfRule>
          <xm:sqref>E12</xm:sqref>
        </x14:conditionalFormatting>
        <x14:conditionalFormatting xmlns:xm="http://schemas.microsoft.com/office/excel/2006/main">
          <x14:cfRule type="iconSet" priority="102" id="{109C95A4-F0DD-43DD-A802-930FD32992A2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Flugzeugdaten!$H$18</xm:f>
              </x14:cfvo>
              <x14:cfIcon iconSet="NoIcons" iconId="0"/>
              <x14:cfIcon iconSet="NoIcons" iconId="0"/>
              <x14:cfIcon iconSet="3Symbols" iconId="0"/>
            </x14:iconSet>
          </x14:cfRule>
          <xm:sqref>E15</xm:sqref>
        </x14:conditionalFormatting>
        <x14:conditionalFormatting xmlns:xm="http://schemas.microsoft.com/office/excel/2006/main">
          <x14:cfRule type="iconSet" priority="104" id="{2BAE0335-4A9D-4E5A-BA1A-0DB85517D248}">
            <x14:iconSet iconSet="3Symbols" custom="1">
              <x14:cfvo type="percent">
                <xm:f>0</xm:f>
              </x14:cfvo>
              <x14:cfvo type="formula" gte="0">
                <xm:f>Flugzeugdaten!$G$4</xm:f>
              </x14:cfvo>
              <x14:cfvo type="formula" gte="0">
                <xm:f>Flugzeugdaten!$G$6</xm:f>
              </x14:cfvo>
              <x14:cfIcon iconSet="NoIcons" iconId="0"/>
              <x14:cfIcon iconSet="3Symbols" iconId="1"/>
              <x14:cfIcon iconSet="3Symbols" iconId="0"/>
            </x14:iconSet>
          </x14:cfRule>
          <xm:sqref>D23:D24</xm:sqref>
        </x14:conditionalFormatting>
        <x14:conditionalFormatting xmlns:xm="http://schemas.microsoft.com/office/excel/2006/main">
          <x14:cfRule type="iconSet" priority="105" id="{33E0FA0B-349B-4538-8FD5-C61702FCE636}">
            <x14:iconSet custom="1">
              <x14:cfvo type="percent">
                <xm:f>0</xm:f>
              </x14:cfvo>
              <x14:cfvo type="formula">
                <xm:f>$E$15+$E$16-$E$17-Flugzeugdaten!$Q$7</xm:f>
              </x14:cfvo>
              <x14:cfvo type="formula">
                <xm:f>$E$15+$E$16-$E$17-Flugzeugdaten!$Q$6</xm:f>
              </x14:cfvo>
              <x14:cfIcon iconSet="NoIcons" iconId="0"/>
              <x14:cfIcon iconSet="3Symbols" iconId="1"/>
              <x14:cfIcon iconSet="3Symbols" iconId="0"/>
            </x14:iconSet>
          </x14:cfRule>
          <xm:sqref>E18</xm:sqref>
        </x14:conditionalFormatting>
        <x14:conditionalFormatting xmlns:xm="http://schemas.microsoft.com/office/excel/2006/main">
          <x14:cfRule type="iconSet" priority="10" id="{0CD43428-9987-45C6-A244-2BB1C2C781A9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Flugzeugdaten!$H$1+Flugzeugdaten!$H$19</xm:f>
              </x14:cfvo>
              <x14:cfIcon iconSet="NoIcons" iconId="0"/>
              <x14:cfIcon iconSet="NoIcons" iconId="0"/>
              <x14:cfIcon iconSet="3Symbols" iconId="0"/>
            </x14:iconSet>
          </x14:cfRule>
          <xm:sqref>E16</xm:sqref>
        </x14:conditionalFormatting>
        <x14:conditionalFormatting xmlns:xm="http://schemas.microsoft.com/office/excel/2006/main">
          <x14:cfRule type="iconSet" priority="7" id="{5AD6F7DB-9419-42B7-8098-E7E1C3AD1EF7}">
            <x14:iconSet iconSet="4TrafficLights" custom="1">
              <x14:cfvo type="percent">
                <xm:f>0</xm:f>
              </x14:cfvo>
              <x14:cfvo type="formula">
                <xm:f>Flugzeugdaten!$S$13</xm:f>
              </x14:cfvo>
              <x14:cfvo type="formula">
                <xm:f>Flugzeugdaten!$Q$13</xm:f>
              </x14:cfvo>
              <x14:cfvo type="formula" gte="0">
                <xm:f>Flugzeugdaten!$R$13</xm:f>
              </x14:cfvo>
              <x14:cfIcon iconSet="3Symbols" iconId="0"/>
              <x14:cfIcon iconSet="3Symbols" iconId="1"/>
              <x14:cfIcon iconSet="NoIcons" iconId="0"/>
              <x14:cfIcon iconSet="3Symbols" iconId="0"/>
            </x14:iconSet>
          </x14:cfRule>
          <xm:sqref>E23</xm:sqref>
        </x14:conditionalFormatting>
        <x14:conditionalFormatting xmlns:xm="http://schemas.microsoft.com/office/excel/2006/main">
          <x14:cfRule type="iconSet" priority="6" id="{D1F6A9B3-0761-4AF6-A780-EC1C5E11E00B}">
            <x14:iconSet iconSet="4TrafficLights" custom="1">
              <x14:cfvo type="percent">
                <xm:f>0</xm:f>
              </x14:cfvo>
              <x14:cfvo type="formula">
                <xm:f>Flugzeugdaten!$S$14</xm:f>
              </x14:cfvo>
              <x14:cfvo type="formula">
                <xm:f>Flugzeugdaten!$Q$14</xm:f>
              </x14:cfvo>
              <x14:cfvo type="formula" gte="0">
                <xm:f>Flugzeugdaten!$R$14</xm:f>
              </x14:cfvo>
              <x14:cfIcon iconSet="3Symbols" iconId="0"/>
              <x14:cfIcon iconSet="3Symbols" iconId="1"/>
              <x14:cfIcon iconSet="NoIcons" iconId="0"/>
              <x14:cfIcon iconSet="3Symbols" iconId="0"/>
            </x14:iconSet>
          </x14:cfRule>
          <xm:sqref>E24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0"/>
  </sheetPr>
  <dimension ref="A1:I48"/>
  <sheetViews>
    <sheetView showGridLines="0" showRowColHeaders="0" showWhiteSpace="0" zoomScaleNormal="100" workbookViewId="0"/>
  </sheetViews>
  <sheetFormatPr baseColWidth="10" defaultColWidth="11.42578125" defaultRowHeight="15" x14ac:dyDescent="0.25"/>
  <cols>
    <col min="1" max="1" width="14.85546875" customWidth="1"/>
    <col min="2" max="2" width="19.28515625" customWidth="1"/>
    <col min="3" max="3" width="12.140625" customWidth="1"/>
    <col min="4" max="5" width="7.140625" customWidth="1"/>
    <col min="6" max="6" width="13" customWidth="1"/>
    <col min="7" max="7" width="13.7109375" customWidth="1"/>
  </cols>
  <sheetData>
    <row r="1" spans="1:9" ht="26.25" x14ac:dyDescent="0.3">
      <c r="A1" s="50" t="str">
        <f>Flugzeugdaten!$C$2</f>
        <v>D-EUPS</v>
      </c>
      <c r="B1" s="137" t="s">
        <v>19</v>
      </c>
      <c r="C1" s="137"/>
      <c r="D1" s="137"/>
      <c r="E1" s="137"/>
      <c r="F1" s="138" t="s">
        <v>20</v>
      </c>
      <c r="G1" s="138"/>
      <c r="H1" s="72"/>
      <c r="I1" s="72"/>
    </row>
    <row r="2" spans="1:9" ht="18.75" x14ac:dyDescent="0.3">
      <c r="A2" s="47" t="str">
        <f>Flugzeugdaten!$C$3</f>
        <v>Robin DR401</v>
      </c>
      <c r="C2" s="29"/>
      <c r="F2" s="139" t="str">
        <f>Flugzeugdaten!$A$4</f>
        <v>Wägedaten vom 31.05.2021</v>
      </c>
      <c r="G2" s="139"/>
      <c r="H2" s="72"/>
      <c r="I2" s="72"/>
    </row>
    <row r="4" spans="1:9" x14ac:dyDescent="0.25">
      <c r="A4" s="128" t="s">
        <v>0</v>
      </c>
      <c r="B4" s="129"/>
      <c r="C4" s="73" t="s">
        <v>4</v>
      </c>
      <c r="D4" s="132" t="str">
        <f>Dateneingabe!C5</f>
        <v>EDFZ</v>
      </c>
      <c r="E4" s="132"/>
      <c r="F4" s="75" t="s">
        <v>6</v>
      </c>
      <c r="G4" s="74" t="str">
        <f>Dateneingabe!E5</f>
        <v>EDFZ</v>
      </c>
    </row>
    <row r="5" spans="1:9" x14ac:dyDescent="0.25">
      <c r="A5" s="133" t="s">
        <v>8</v>
      </c>
      <c r="B5" s="134"/>
      <c r="C5" s="133">
        <f>Dateneingabe!B7</f>
        <v>0</v>
      </c>
      <c r="D5" s="132"/>
      <c r="E5" s="134"/>
      <c r="F5" s="24" t="s">
        <v>7</v>
      </c>
      <c r="G5" s="25">
        <f ca="1">Dateneingabe!B6</f>
        <v>44366</v>
      </c>
    </row>
    <row r="6" spans="1:9" x14ac:dyDescent="0.25">
      <c r="A6" s="148"/>
      <c r="B6" s="148"/>
    </row>
    <row r="7" spans="1:9" x14ac:dyDescent="0.25">
      <c r="A7" s="128" t="s">
        <v>21</v>
      </c>
      <c r="B7" s="129"/>
      <c r="C7" s="76" t="s">
        <v>22</v>
      </c>
      <c r="D7" s="135" t="s">
        <v>16</v>
      </c>
      <c r="E7" s="135"/>
      <c r="F7" s="76" t="s">
        <v>23</v>
      </c>
      <c r="G7" s="76" t="s">
        <v>24</v>
      </c>
    </row>
    <row r="8" spans="1:9" x14ac:dyDescent="0.25">
      <c r="A8" s="130" t="s">
        <v>25</v>
      </c>
      <c r="B8" s="131"/>
      <c r="C8" s="1"/>
      <c r="D8" s="127">
        <f>Flugzeugdaten!$A$6</f>
        <v>652.22</v>
      </c>
      <c r="E8" s="127"/>
      <c r="F8" s="42">
        <f>Flugzeugdaten!$B$6</f>
        <v>0.35610530189199957</v>
      </c>
      <c r="G8" s="43">
        <f>Flugzeugdaten!$C$6</f>
        <v>232.25899999999999</v>
      </c>
    </row>
    <row r="9" spans="1:9" x14ac:dyDescent="0.25">
      <c r="A9" s="123" t="s">
        <v>11</v>
      </c>
      <c r="B9" s="124"/>
      <c r="C9" s="1"/>
      <c r="D9" s="48">
        <f>Dateneingabe!$D$10</f>
        <v>0</v>
      </c>
      <c r="E9" s="48">
        <f>Dateneingabe!$E$10</f>
        <v>0</v>
      </c>
      <c r="F9" s="42">
        <f>Flugzeugdaten!$E$3</f>
        <v>0.42</v>
      </c>
      <c r="G9" s="43">
        <f>(D9+E9)*F9</f>
        <v>0</v>
      </c>
    </row>
    <row r="10" spans="1:9" x14ac:dyDescent="0.25">
      <c r="A10" s="123" t="s">
        <v>12</v>
      </c>
      <c r="B10" s="124"/>
      <c r="C10" s="27"/>
      <c r="D10" s="48">
        <f>Dateneingabe!$D$11</f>
        <v>0</v>
      </c>
      <c r="E10" s="48">
        <f>Dateneingabe!$E$11</f>
        <v>0</v>
      </c>
      <c r="F10" s="42">
        <f>Flugzeugdaten!$E$4</f>
        <v>1.19</v>
      </c>
      <c r="G10" s="43">
        <f>(D10+E10)*F10</f>
        <v>0</v>
      </c>
    </row>
    <row r="11" spans="1:9" x14ac:dyDescent="0.25">
      <c r="A11" s="123" t="str">
        <f>"Gepäck (max. "&amp;TEXT(Flugzeugdaten!$G$7,"0")&amp;" kg)"</f>
        <v>Gepäck (max. 60 kg)</v>
      </c>
      <c r="B11" s="124"/>
      <c r="C11" s="27"/>
      <c r="D11" s="127">
        <f>Dateneingabe!$E$12</f>
        <v>0</v>
      </c>
      <c r="E11" s="127"/>
      <c r="F11" s="42">
        <f>Flugzeugdaten!$E$5</f>
        <v>1.9</v>
      </c>
      <c r="G11" s="43">
        <f>D11*F11</f>
        <v>0</v>
      </c>
    </row>
    <row r="12" spans="1:9" x14ac:dyDescent="0.25">
      <c r="A12" s="146" t="s">
        <v>26</v>
      </c>
      <c r="B12" s="147"/>
      <c r="C12" s="28"/>
      <c r="D12" s="126">
        <f>SUM(D8:E11)</f>
        <v>652.22</v>
      </c>
      <c r="E12" s="126"/>
      <c r="F12" s="45">
        <f>G12/D12</f>
        <v>0.35610530189199957</v>
      </c>
      <c r="G12" s="44">
        <f>SUM(G8:G11)</f>
        <v>232.25899999999999</v>
      </c>
    </row>
    <row r="13" spans="1:9" x14ac:dyDescent="0.25">
      <c r="A13" s="123" t="str">
        <f>"Treibstoff Haupttank (max. "&amp;TEXT(Flugzeugdaten!$H$18,"0")&amp;" L)"</f>
        <v>Treibstoff Haupttank (max. 109 L)</v>
      </c>
      <c r="B13" s="124"/>
      <c r="C13" s="2">
        <f>Dateneingabe!$E$15</f>
        <v>0</v>
      </c>
      <c r="D13" s="127">
        <f>C13*Flugzeugdaten!$N$3</f>
        <v>0</v>
      </c>
      <c r="E13" s="127"/>
      <c r="F13" s="42">
        <f>Flugzeugdaten!$E$6</f>
        <v>1.1200000000000001</v>
      </c>
      <c r="G13" s="43">
        <f>D13*F13</f>
        <v>0</v>
      </c>
    </row>
    <row r="14" spans="1:9" x14ac:dyDescent="0.25">
      <c r="A14" s="123" t="str">
        <f>"Treibstoff Flügeltanks (max. "&amp;TEXT(Flugzeugdaten!$H$19,"0")&amp;" L)"</f>
        <v>Treibstoff Flügeltanks (max. 80 L)</v>
      </c>
      <c r="B14" s="124"/>
      <c r="C14" s="2">
        <f>Dateneingabe!$E$16</f>
        <v>0</v>
      </c>
      <c r="D14" s="127">
        <f>C14*Flugzeugdaten!$N$3</f>
        <v>0</v>
      </c>
      <c r="E14" s="127"/>
      <c r="F14" s="42">
        <f>Flugzeugdaten!$E$7</f>
        <v>0.1</v>
      </c>
      <c r="G14" s="43">
        <f>D14*F14</f>
        <v>0</v>
      </c>
    </row>
    <row r="15" spans="1:9" x14ac:dyDescent="0.25">
      <c r="A15" s="142" t="s">
        <v>27</v>
      </c>
      <c r="B15" s="143"/>
      <c r="C15" s="2"/>
      <c r="D15" s="126">
        <f>SUM(D12:E14)</f>
        <v>652.22</v>
      </c>
      <c r="E15" s="126"/>
      <c r="F15" s="45">
        <f>G15/D15</f>
        <v>0.35610530189199957</v>
      </c>
      <c r="G15" s="44">
        <f>SUM(G12:G14)</f>
        <v>232.25899999999999</v>
      </c>
    </row>
    <row r="16" spans="1:9" x14ac:dyDescent="0.25">
      <c r="A16" s="123" t="s">
        <v>28</v>
      </c>
      <c r="B16" s="124"/>
      <c r="C16" s="2">
        <f>Dateneingabe!$E$17</f>
        <v>4</v>
      </c>
      <c r="D16" s="127">
        <f>-C16*Flugzeugdaten!$N$3</f>
        <v>-2.88</v>
      </c>
      <c r="E16" s="127"/>
      <c r="F16" s="42">
        <f>Flugzeugdaten!$E$6</f>
        <v>1.1200000000000001</v>
      </c>
      <c r="G16" s="43">
        <f>D16*F16</f>
        <v>-3.2256</v>
      </c>
    </row>
    <row r="17" spans="1:7" x14ac:dyDescent="0.25">
      <c r="A17" s="142" t="str">
        <f>"Startmasse   (max "&amp;TEXT(Flugzeugdaten!$G$3, "0")&amp;"kg U / "&amp;TEXT(Flugzeugdaten!$G$5, "0")&amp;"kg N)"</f>
        <v>Startmasse   (max 950kg U / 1100kg N)</v>
      </c>
      <c r="B17" s="143"/>
      <c r="C17" s="2"/>
      <c r="D17" s="126">
        <f>SUM(D15:E16)</f>
        <v>649.34</v>
      </c>
      <c r="E17" s="126"/>
      <c r="F17" s="45">
        <f>G17/D17</f>
        <v>0.35271722056241717</v>
      </c>
      <c r="G17" s="44">
        <f>SUM(G15:G16)</f>
        <v>229.03339999999997</v>
      </c>
    </row>
    <row r="18" spans="1:7" x14ac:dyDescent="0.25">
      <c r="A18" s="144" t="s">
        <v>29</v>
      </c>
      <c r="B18" s="145"/>
      <c r="C18" s="2">
        <f>Dateneingabe!$E$18</f>
        <v>0</v>
      </c>
      <c r="D18" s="127">
        <f>-C18*Flugzeugdaten!$N$3</f>
        <v>0</v>
      </c>
      <c r="E18" s="127"/>
      <c r="F18" s="42">
        <f>IFERROR((Flugzeugdaten!$E$6 * $C$13 + Flugzeugdaten!$E$7 *$C$14) / ($C$13+$C$14), 0)</f>
        <v>0</v>
      </c>
      <c r="G18" s="43">
        <f>D18*F18</f>
        <v>0</v>
      </c>
    </row>
    <row r="19" spans="1:7" x14ac:dyDescent="0.25">
      <c r="A19" s="142" t="str">
        <f>"Landemasse (max "&amp;TEXT(Flugzeugdaten!$G$4, "0")&amp;"kg U / "&amp;TEXT(Flugzeugdaten!$G$6, "0")&amp;"kg N)"</f>
        <v>Landemasse (max 950kg U / 1045kg N)</v>
      </c>
      <c r="B19" s="143"/>
      <c r="C19" s="2"/>
      <c r="D19" s="126">
        <f>SUM(D17:E18)</f>
        <v>649.34</v>
      </c>
      <c r="E19" s="126"/>
      <c r="F19" s="45">
        <f>G19/D19</f>
        <v>0.35271722056241717</v>
      </c>
      <c r="G19" s="44">
        <f>SUM(G17:G18)</f>
        <v>229.03339999999997</v>
      </c>
    </row>
    <row r="21" spans="1:7" x14ac:dyDescent="0.25">
      <c r="A21" s="140" t="s">
        <v>30</v>
      </c>
      <c r="B21" s="141"/>
      <c r="C21" s="125" t="s">
        <v>31</v>
      </c>
      <c r="D21" s="125"/>
      <c r="E21" s="125"/>
      <c r="F21" s="125"/>
      <c r="G21" s="125"/>
    </row>
    <row r="22" spans="1:7" x14ac:dyDescent="0.25">
      <c r="B22" s="30"/>
    </row>
    <row r="23" spans="1:7" x14ac:dyDescent="0.25">
      <c r="B23" t="s">
        <v>1</v>
      </c>
      <c r="G23" t="s">
        <v>2</v>
      </c>
    </row>
    <row r="48" spans="1:7" x14ac:dyDescent="0.25">
      <c r="A48" s="136" t="s">
        <v>32</v>
      </c>
      <c r="B48" s="136"/>
      <c r="C48" s="136"/>
      <c r="D48" s="136"/>
      <c r="E48" s="136"/>
      <c r="F48" s="136"/>
      <c r="G48" s="136"/>
    </row>
  </sheetData>
  <sheetProtection sheet="1" objects="1" scenarios="1"/>
  <mergeCells count="35">
    <mergeCell ref="A48:G48"/>
    <mergeCell ref="B1:E1"/>
    <mergeCell ref="F1:G1"/>
    <mergeCell ref="F2:G2"/>
    <mergeCell ref="A21:B21"/>
    <mergeCell ref="A16:B16"/>
    <mergeCell ref="A17:B17"/>
    <mergeCell ref="A18:B18"/>
    <mergeCell ref="A19:B19"/>
    <mergeCell ref="A11:B11"/>
    <mergeCell ref="A12:B12"/>
    <mergeCell ref="A13:B13"/>
    <mergeCell ref="A15:B15"/>
    <mergeCell ref="A4:B4"/>
    <mergeCell ref="A5:B5"/>
    <mergeCell ref="A6:B6"/>
    <mergeCell ref="A7:B7"/>
    <mergeCell ref="A8:B8"/>
    <mergeCell ref="D4:E4"/>
    <mergeCell ref="C5:E5"/>
    <mergeCell ref="D7:E7"/>
    <mergeCell ref="D8:E8"/>
    <mergeCell ref="A9:B9"/>
    <mergeCell ref="A10:B10"/>
    <mergeCell ref="C21:G21"/>
    <mergeCell ref="D15:E15"/>
    <mergeCell ref="D16:E16"/>
    <mergeCell ref="D17:E17"/>
    <mergeCell ref="D18:E18"/>
    <mergeCell ref="D19:E19"/>
    <mergeCell ref="D11:E11"/>
    <mergeCell ref="D12:E12"/>
    <mergeCell ref="D13:E13"/>
    <mergeCell ref="A14:B14"/>
    <mergeCell ref="D14:E14"/>
  </mergeCells>
  <printOptions horizontalCentered="1"/>
  <pageMargins left="0.70866141732283472" right="0.31496062992125984" top="0.19685039370078741" bottom="0.74803149606299213" header="0" footer="0.31496062992125984"/>
  <pageSetup paperSize="11" scale="70" orientation="portrait" r:id="rId1"/>
  <headerFooter>
    <oddFooter>&amp;L&amp;D &amp;T&amp;C&amp;F&amp;RSeite &amp;P von &amp;N</oddFooter>
  </headerFooter>
  <ignoredErrors>
    <ignoredError sqref="G12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3F7D7473-9AB6-4A47-9EE9-8CF7217884A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C16</xm:sqref>
        </x14:conditionalFormatting>
        <x14:conditionalFormatting xmlns:xm="http://schemas.microsoft.com/office/excel/2006/main">
          <x14:cfRule type="iconSet" priority="43" id="{CAC62E32-6CA5-4EC2-AF68-14D31AE1BF81}">
            <x14:iconSet custom="1">
              <x14:cfvo type="percent">
                <xm:f>0</xm:f>
              </x14:cfvo>
              <x14:cfvo type="formula" gte="0">
                <xm:f>Flugzeugdaten!$G$3</xm:f>
              </x14:cfvo>
              <x14:cfvo type="formula" gte="0">
                <xm:f>Flugzeugdaten!$G$5</xm:f>
              </x14:cfvo>
              <x14:cfIcon iconSet="NoIcons" iconId="0"/>
              <x14:cfIcon iconSet="3Symbols" iconId="1"/>
              <x14:cfIcon iconSet="3Symbols" iconId="0"/>
            </x14:iconSet>
          </x14:cfRule>
          <xm:sqref>D17</xm:sqref>
        </x14:conditionalFormatting>
        <x14:conditionalFormatting xmlns:xm="http://schemas.microsoft.com/office/excel/2006/main">
          <x14:cfRule type="iconSet" priority="68" id="{1AA49C80-2B0E-46C5-B73A-7E5A72333A3F}">
            <x14:iconSet iconSet="4TrafficLights" custom="1">
              <x14:cfvo type="percent">
                <xm:f>0</xm:f>
              </x14:cfvo>
              <x14:cfvo type="formula">
                <xm:f>Flugzeugdaten!$S$12</xm:f>
              </x14:cfvo>
              <x14:cfvo type="formula">
                <xm:f>Flugzeugdaten!$Q$12</xm:f>
              </x14:cfvo>
              <x14:cfvo type="formula" gte="0">
                <xm:f>Flugzeugdaten!$R$12</xm:f>
              </x14:cfvo>
              <x14:cfIcon iconSet="3Symbols" iconId="0"/>
              <x14:cfIcon iconSet="3Symbols" iconId="1"/>
              <x14:cfIcon iconSet="NoIcons" iconId="0"/>
              <x14:cfIcon iconSet="3Symbols" iconId="0"/>
            </x14:iconSet>
          </x14:cfRule>
          <xm:sqref>F17</xm:sqref>
        </x14:conditionalFormatting>
        <x14:conditionalFormatting xmlns:xm="http://schemas.microsoft.com/office/excel/2006/main">
          <x14:cfRule type="iconSet" priority="69" id="{1D7AC7D7-48A8-4353-91AF-E8DCCE289704}">
            <x14:iconSet iconSet="4TrafficLights" custom="1">
              <x14:cfvo type="percent">
                <xm:f>0</xm:f>
              </x14:cfvo>
              <x14:cfvo type="formula">
                <xm:f>Flugzeugdaten!$S$13</xm:f>
              </x14:cfvo>
              <x14:cfvo type="formula">
                <xm:f>Flugzeugdaten!$Q$13</xm:f>
              </x14:cfvo>
              <x14:cfvo type="formula" gte="0">
                <xm:f>Flugzeugdaten!$R$13</xm:f>
              </x14:cfvo>
              <x14:cfIcon iconSet="3Symbols" iconId="0"/>
              <x14:cfIcon iconSet="3Symbols" iconId="1"/>
              <x14:cfIcon iconSet="NoIcons" iconId="0"/>
              <x14:cfIcon iconSet="3Symbols" iconId="0"/>
            </x14:iconSet>
          </x14:cfRule>
          <xm:sqref>F19</xm:sqref>
        </x14:conditionalFormatting>
        <x14:conditionalFormatting xmlns:xm="http://schemas.microsoft.com/office/excel/2006/main">
          <x14:cfRule type="iconSet" priority="70" id="{60565B54-32E8-4AED-8DCB-6852723252D4}">
            <x14:iconSet iconSet="4TrafficLights" custom="1">
              <x14:cfvo type="percent">
                <xm:f>0</xm:f>
              </x14:cfvo>
              <x14:cfvo type="formula">
                <xm:f>Flugzeugdaten!$S$14</xm:f>
              </x14:cfvo>
              <x14:cfvo type="formula">
                <xm:f>Flugzeugdaten!$Q$14</xm:f>
              </x14:cfvo>
              <x14:cfvo type="formula" gte="0">
                <xm:f>Flugzeugdaten!$R$14</xm:f>
              </x14:cfvo>
              <x14:cfIcon iconSet="3Symbols" iconId="0"/>
              <x14:cfIcon iconSet="3Symbols" iconId="1"/>
              <x14:cfIcon iconSet="NoIcons" iconId="0"/>
              <x14:cfIcon iconSet="3Symbols" iconId="0"/>
            </x14:iconSet>
          </x14:cfRule>
          <xm:sqref>F12</xm:sqref>
        </x14:conditionalFormatting>
        <x14:conditionalFormatting xmlns:xm="http://schemas.microsoft.com/office/excel/2006/main">
          <x14:cfRule type="iconSet" priority="84" id="{03818878-C9C8-4014-A2BC-05DA26CC65E0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Flugzeugdaten!$G$7</xm:f>
              </x14:cfvo>
              <x14:cfIcon iconSet="NoIcons" iconId="0"/>
              <x14:cfIcon iconSet="NoIcons" iconId="0"/>
              <x14:cfIcon iconSet="3Symbols" iconId="0"/>
            </x14:iconSet>
          </x14:cfRule>
          <xm:sqref>D11</xm:sqref>
        </x14:conditionalFormatting>
        <x14:conditionalFormatting xmlns:xm="http://schemas.microsoft.com/office/excel/2006/main">
          <x14:cfRule type="iconSet" priority="87" id="{18F2B3B5-A350-4078-99E9-E63299760057}">
            <x14:iconSet iconSet="3Symbols" custom="1">
              <x14:cfvo type="percent">
                <xm:f>0</xm:f>
              </x14:cfvo>
              <x14:cfvo type="formula" gte="0">
                <xm:f>Flugzeugdaten!$G$4</xm:f>
              </x14:cfvo>
              <x14:cfvo type="formula" gte="0">
                <xm:f>Flugzeugdaten!$G$6</xm:f>
              </x14:cfvo>
              <x14:cfIcon iconSet="NoIcons" iconId="0"/>
              <x14:cfIcon iconSet="3Symbols" iconId="1"/>
              <x14:cfIcon iconSet="3Symbols" iconId="0"/>
            </x14:iconSet>
          </x14:cfRule>
          <xm:sqref>D19 D12</xm:sqref>
        </x14:conditionalFormatting>
        <x14:conditionalFormatting xmlns:xm="http://schemas.microsoft.com/office/excel/2006/main">
          <x14:cfRule type="iconSet" priority="93" id="{0ABEB0B5-4115-4290-AB35-9052249C502A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Flugzeugdaten!$H$18</xm:f>
              </x14:cfvo>
              <x14:cfIcon iconSet="NoIcons" iconId="0"/>
              <x14:cfIcon iconSet="NoIcons" iconId="0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96" id="{BFD899BE-4866-48A0-84A7-37A0264A25B7}">
            <x14:iconSet custom="1">
              <x14:cfvo type="percent">
                <xm:f>0</xm:f>
              </x14:cfvo>
              <x14:cfvo type="formula" gte="0">
                <xm:f>$C$13+$C$14-$C$16-Flugzeugdaten!$Q$7</xm:f>
              </x14:cfvo>
              <x14:cfvo type="formula">
                <xm:f>$C$13+$C$14-$C$16-Flugzeugdaten!$Q$6</xm:f>
              </x14:cfvo>
              <x14:cfIcon iconSet="NoIcons" iconId="0"/>
              <x14:cfIcon iconSet="3Symbols" iconId="1"/>
              <x14:cfIcon iconSet="3Symbols" iconId="0"/>
            </x14:iconSet>
          </x14:cfRule>
          <xm:sqref>C18</xm:sqref>
        </x14:conditionalFormatting>
        <x14:conditionalFormatting xmlns:xm="http://schemas.microsoft.com/office/excel/2006/main">
          <x14:cfRule type="iconSet" priority="1" id="{EB10163F-2F9E-4776-9147-74D41587591D}">
            <x14:iconSet iconSet="3Symbols"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Flugzeugdaten!$H$19</xm:f>
              </x14:cfvo>
              <x14:cfIcon iconSet="NoIcons" iconId="0"/>
              <x14:cfIcon iconSet="NoIcons" iconId="0"/>
              <x14:cfIcon iconSet="3Symbols" iconId="0"/>
            </x14:iconSet>
          </x14:cfRule>
          <xm:sqref>C14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T19"/>
  <sheetViews>
    <sheetView zoomScaleNormal="100" workbookViewId="0">
      <selection activeCell="A4" sqref="A4:C4"/>
    </sheetView>
  </sheetViews>
  <sheetFormatPr baseColWidth="10" defaultColWidth="11.42578125" defaultRowHeight="15" x14ac:dyDescent="0.25"/>
  <cols>
    <col min="2" max="2" width="14" customWidth="1"/>
    <col min="3" max="3" width="17.85546875" style="4" customWidth="1"/>
    <col min="4" max="4" width="25.7109375" customWidth="1"/>
    <col min="5" max="5" width="11.42578125" style="3"/>
    <col min="6" max="6" width="36.7109375" style="5" customWidth="1"/>
    <col min="7" max="8" width="7.28515625" style="8" customWidth="1"/>
    <col min="9" max="9" width="12.7109375" style="3" customWidth="1"/>
    <col min="10" max="10" width="11.42578125" style="9"/>
    <col min="11" max="11" width="13.5703125" style="3" customWidth="1"/>
    <col min="12" max="12" width="14.28515625" style="3" customWidth="1"/>
    <col min="13" max="13" width="10.7109375" style="5" customWidth="1"/>
    <col min="14" max="14" width="11.42578125" style="3"/>
    <col min="15" max="15" width="23.28515625" style="5" customWidth="1"/>
    <col min="18" max="18" width="11.42578125" style="4"/>
  </cols>
  <sheetData>
    <row r="1" spans="1:20" x14ac:dyDescent="0.25">
      <c r="A1" s="151" t="s">
        <v>33</v>
      </c>
      <c r="B1" s="151"/>
      <c r="C1" s="152"/>
      <c r="D1" s="149" t="s">
        <v>34</v>
      </c>
      <c r="E1" s="101"/>
      <c r="F1" s="149" t="s">
        <v>35</v>
      </c>
      <c r="G1" s="101"/>
      <c r="H1" s="101"/>
      <c r="I1" s="150"/>
      <c r="J1" s="149" t="s">
        <v>36</v>
      </c>
      <c r="K1" s="101"/>
      <c r="L1" s="101"/>
      <c r="M1" s="149" t="s">
        <v>37</v>
      </c>
      <c r="N1" s="150"/>
      <c r="O1" s="101" t="s">
        <v>38</v>
      </c>
      <c r="P1" s="101"/>
      <c r="Q1" s="101"/>
      <c r="R1" s="150"/>
    </row>
    <row r="2" spans="1:20" x14ac:dyDescent="0.25">
      <c r="A2" s="153" t="s">
        <v>39</v>
      </c>
      <c r="B2" s="153"/>
      <c r="C2" s="4" t="s">
        <v>40</v>
      </c>
      <c r="D2" s="6" t="s">
        <v>41</v>
      </c>
      <c r="E2" s="20" t="s">
        <v>42</v>
      </c>
      <c r="F2" s="7" t="s">
        <v>43</v>
      </c>
      <c r="G2" s="18" t="s">
        <v>10</v>
      </c>
      <c r="H2" s="18" t="s">
        <v>14</v>
      </c>
      <c r="I2" s="19" t="s">
        <v>44</v>
      </c>
      <c r="J2" s="21" t="s">
        <v>16</v>
      </c>
      <c r="K2" s="20" t="s">
        <v>23</v>
      </c>
      <c r="L2" s="20" t="s">
        <v>24</v>
      </c>
      <c r="M2" s="7" t="s">
        <v>45</v>
      </c>
      <c r="N2" s="19" t="s">
        <v>46</v>
      </c>
      <c r="O2" s="7" t="s">
        <v>47</v>
      </c>
      <c r="P2" s="16" t="s">
        <v>10</v>
      </c>
      <c r="Q2" s="16" t="s">
        <v>14</v>
      </c>
      <c r="R2" s="17" t="s">
        <v>42</v>
      </c>
    </row>
    <row r="3" spans="1:20" x14ac:dyDescent="0.25">
      <c r="A3" s="154" t="s">
        <v>48</v>
      </c>
      <c r="B3" s="154"/>
      <c r="C3" s="31" t="s">
        <v>49</v>
      </c>
      <c r="D3" t="s">
        <v>50</v>
      </c>
      <c r="E3" s="61">
        <v>0.42</v>
      </c>
      <c r="F3" s="64" t="s">
        <v>51</v>
      </c>
      <c r="G3" s="65">
        <v>950</v>
      </c>
      <c r="H3" s="65"/>
      <c r="I3" s="66"/>
      <c r="J3" s="70">
        <f>G8</f>
        <v>650</v>
      </c>
      <c r="K3" s="66">
        <f>I8</f>
        <v>0.20499999999999999</v>
      </c>
      <c r="L3" s="66">
        <f>J3*K3</f>
        <v>133.25</v>
      </c>
      <c r="M3" s="5" t="s">
        <v>52</v>
      </c>
      <c r="N3" s="3">
        <v>0.72</v>
      </c>
      <c r="O3" s="5" t="s">
        <v>53</v>
      </c>
      <c r="P3" s="8">
        <v>650</v>
      </c>
      <c r="Q3" s="8"/>
      <c r="R3" s="15"/>
    </row>
    <row r="4" spans="1:20" x14ac:dyDescent="0.25">
      <c r="A4" s="101" t="s">
        <v>54</v>
      </c>
      <c r="B4" s="101"/>
      <c r="C4" s="150"/>
      <c r="D4" t="s">
        <v>12</v>
      </c>
      <c r="E4" s="61">
        <v>1.19</v>
      </c>
      <c r="F4" s="64" t="s">
        <v>55</v>
      </c>
      <c r="G4" s="65">
        <v>950</v>
      </c>
      <c r="H4" s="65"/>
      <c r="I4" s="66"/>
      <c r="J4" s="70">
        <f>G9</f>
        <v>750</v>
      </c>
      <c r="K4" s="66">
        <f>I9</f>
        <v>0.20499999999999999</v>
      </c>
      <c r="L4" s="66">
        <f>J4*K4</f>
        <v>153.75</v>
      </c>
      <c r="O4" s="5" t="s">
        <v>56</v>
      </c>
      <c r="P4" s="8">
        <v>600</v>
      </c>
      <c r="Q4" s="8"/>
      <c r="R4" s="15"/>
    </row>
    <row r="5" spans="1:20" x14ac:dyDescent="0.25">
      <c r="A5" s="16" t="s">
        <v>16</v>
      </c>
      <c r="B5" s="16" t="s">
        <v>23</v>
      </c>
      <c r="C5" s="17" t="s">
        <v>24</v>
      </c>
      <c r="D5" t="s">
        <v>57</v>
      </c>
      <c r="E5" s="61">
        <v>1.9</v>
      </c>
      <c r="F5" s="67" t="s">
        <v>58</v>
      </c>
      <c r="G5" s="68">
        <v>1100</v>
      </c>
      <c r="H5" s="68"/>
      <c r="I5" s="69"/>
      <c r="J5" s="70">
        <f>G10</f>
        <v>950</v>
      </c>
      <c r="K5" s="66">
        <f>I10</f>
        <v>0.42799999999999999</v>
      </c>
      <c r="L5" s="66">
        <f>J5*K5</f>
        <v>406.59999999999997</v>
      </c>
      <c r="N5" s="49"/>
      <c r="O5" s="5" t="s">
        <v>59</v>
      </c>
      <c r="P5" s="8"/>
      <c r="Q5" s="8"/>
      <c r="R5" s="15">
        <v>0.1</v>
      </c>
    </row>
    <row r="6" spans="1:20" x14ac:dyDescent="0.25">
      <c r="A6" s="62">
        <v>652.22</v>
      </c>
      <c r="B6" s="61">
        <f>C6/A6</f>
        <v>0.35610530189199957</v>
      </c>
      <c r="C6" s="63">
        <f>232.259</f>
        <v>232.25899999999999</v>
      </c>
      <c r="D6" t="s">
        <v>60</v>
      </c>
      <c r="E6" s="61">
        <v>1.1200000000000001</v>
      </c>
      <c r="F6" s="67" t="s">
        <v>61</v>
      </c>
      <c r="G6" s="68">
        <v>1045</v>
      </c>
      <c r="H6" s="68"/>
      <c r="I6" s="69"/>
      <c r="J6" s="70">
        <f>G12</f>
        <v>950</v>
      </c>
      <c r="K6" s="66">
        <f>I12</f>
        <v>0.56399999999999995</v>
      </c>
      <c r="L6" s="66">
        <f>J6*K6</f>
        <v>535.79999999999995</v>
      </c>
      <c r="N6" s="49"/>
      <c r="O6" s="5" t="s">
        <v>62</v>
      </c>
      <c r="P6" s="8"/>
      <c r="Q6" s="77">
        <f>38*0.5</f>
        <v>19</v>
      </c>
      <c r="R6" s="15"/>
    </row>
    <row r="7" spans="1:20" x14ac:dyDescent="0.25">
      <c r="D7" t="s">
        <v>63</v>
      </c>
      <c r="E7" s="61">
        <v>0.1</v>
      </c>
      <c r="F7" s="5" t="s">
        <v>64</v>
      </c>
      <c r="G7" s="8">
        <v>60</v>
      </c>
      <c r="J7" s="70">
        <f>G11</f>
        <v>650</v>
      </c>
      <c r="K7" s="66">
        <f>I11</f>
        <v>0.56399999999999995</v>
      </c>
      <c r="L7" s="66">
        <f>J7*K7</f>
        <v>366.59999999999997</v>
      </c>
      <c r="O7" s="5" t="s">
        <v>65</v>
      </c>
      <c r="P7" s="8"/>
      <c r="Q7" s="1">
        <f>1.5*Q6</f>
        <v>28.5</v>
      </c>
      <c r="R7" s="15"/>
    </row>
    <row r="8" spans="1:20" x14ac:dyDescent="0.25">
      <c r="E8" s="61"/>
      <c r="F8" s="64" t="s">
        <v>66</v>
      </c>
      <c r="G8" s="65">
        <v>650</v>
      </c>
      <c r="H8" s="65"/>
      <c r="I8" s="66">
        <v>0.20499999999999999</v>
      </c>
      <c r="J8" s="70">
        <f>J3</f>
        <v>650</v>
      </c>
      <c r="K8" s="66">
        <f>K3</f>
        <v>0.20499999999999999</v>
      </c>
      <c r="L8" s="66">
        <f>L3</f>
        <v>133.25</v>
      </c>
      <c r="O8" s="5" t="s">
        <v>67</v>
      </c>
      <c r="P8" s="54">
        <f>$G$6</f>
        <v>1045</v>
      </c>
      <c r="R8" s="4">
        <v>0.39300000000000002</v>
      </c>
    </row>
    <row r="9" spans="1:20" x14ac:dyDescent="0.25">
      <c r="F9" s="64" t="s">
        <v>66</v>
      </c>
      <c r="G9" s="65">
        <v>750</v>
      </c>
      <c r="H9" s="65"/>
      <c r="I9" s="66">
        <v>0.20499999999999999</v>
      </c>
      <c r="J9" s="71">
        <f>G13</f>
        <v>650</v>
      </c>
      <c r="K9" s="69">
        <f>I13</f>
        <v>0.20499999999999999</v>
      </c>
      <c r="L9" s="69">
        <f>J9*K9</f>
        <v>133.25</v>
      </c>
      <c r="P9" s="54">
        <f>P8</f>
        <v>1045</v>
      </c>
      <c r="R9" s="15">
        <f>$I$11</f>
        <v>0.56399999999999995</v>
      </c>
    </row>
    <row r="10" spans="1:20" x14ac:dyDescent="0.25">
      <c r="F10" s="64" t="s">
        <v>66</v>
      </c>
      <c r="G10" s="65">
        <f>$G$4</f>
        <v>950</v>
      </c>
      <c r="H10" s="65"/>
      <c r="I10" s="66">
        <v>0.42799999999999999</v>
      </c>
      <c r="J10" s="71">
        <f>G14</f>
        <v>750</v>
      </c>
      <c r="K10" s="69">
        <f>I14</f>
        <v>0.20499999999999999</v>
      </c>
      <c r="L10" s="69">
        <f>J10*K10</f>
        <v>153.75</v>
      </c>
      <c r="O10" s="7"/>
      <c r="P10" s="53"/>
      <c r="Q10" s="53"/>
      <c r="R10" s="52"/>
    </row>
    <row r="11" spans="1:20" x14ac:dyDescent="0.25">
      <c r="F11" s="64" t="s">
        <v>68</v>
      </c>
      <c r="G11" s="65">
        <v>650</v>
      </c>
      <c r="H11" s="65"/>
      <c r="I11" s="66">
        <v>0.56399999999999995</v>
      </c>
      <c r="J11" s="71">
        <f>G15</f>
        <v>1100</v>
      </c>
      <c r="K11" s="69">
        <f>I15</f>
        <v>0.42799999999999999</v>
      </c>
      <c r="L11" s="69">
        <f>J11*K11</f>
        <v>470.8</v>
      </c>
      <c r="O11" s="7" t="s">
        <v>47</v>
      </c>
      <c r="P11" s="51" t="s">
        <v>69</v>
      </c>
      <c r="Q11" s="79" t="s">
        <v>70</v>
      </c>
      <c r="R11" s="80" t="s">
        <v>71</v>
      </c>
      <c r="S11" s="81" t="s">
        <v>72</v>
      </c>
    </row>
    <row r="12" spans="1:20" x14ac:dyDescent="0.25">
      <c r="F12" s="64" t="s">
        <v>68</v>
      </c>
      <c r="G12" s="65">
        <f>$G$4</f>
        <v>950</v>
      </c>
      <c r="H12" s="65"/>
      <c r="I12" s="66">
        <v>0.56399999999999995</v>
      </c>
      <c r="J12" s="71">
        <f>G17</f>
        <v>1100</v>
      </c>
      <c r="K12" s="69">
        <f>I17</f>
        <v>0.56399999999999995</v>
      </c>
      <c r="L12" s="69">
        <f>J12*K12</f>
        <v>620.4</v>
      </c>
      <c r="O12" s="5" t="s">
        <v>73</v>
      </c>
      <c r="Q12">
        <f>MAX($I$9+($I$10-$I$9)*(Druckansicht!$D$17-$G$9)/($G$10-$G$9), $I$8)</f>
        <v>0.20499999999999999</v>
      </c>
      <c r="R12" s="60">
        <f>$I$11</f>
        <v>0.56399999999999995</v>
      </c>
      <c r="S12" s="82">
        <f>MAX($I$14+($I$15-$I$14)*(Druckansicht!$D$17-$G$14)/($G$15-$G$14), $I$13)</f>
        <v>0.20499999999999999</v>
      </c>
      <c r="T12" s="3"/>
    </row>
    <row r="13" spans="1:20" x14ac:dyDescent="0.25">
      <c r="F13" s="67" t="s">
        <v>74</v>
      </c>
      <c r="G13" s="68">
        <v>650</v>
      </c>
      <c r="H13" s="68"/>
      <c r="I13" s="69">
        <v>0.20499999999999999</v>
      </c>
      <c r="J13" s="71">
        <f>J9</f>
        <v>650</v>
      </c>
      <c r="K13" s="69">
        <f>I16</f>
        <v>0.56399999999999995</v>
      </c>
      <c r="L13" s="69">
        <f>J13*K13</f>
        <v>366.59999999999997</v>
      </c>
      <c r="O13" s="5" t="s">
        <v>75</v>
      </c>
      <c r="P13" s="8"/>
      <c r="Q13">
        <f>MAX($I$9+($I$10-$I$9)*(Druckansicht!$D$19-$G$9)/($G$10-$G$9), $I$8)</f>
        <v>0.20499999999999999</v>
      </c>
      <c r="R13" s="15">
        <f>$I$11</f>
        <v>0.56399999999999995</v>
      </c>
      <c r="S13" s="83">
        <f>MAX($I$14+($I$15-$I$14)*(Druckansicht!$D$19-$G$14)/($G$15-$G$14), $I$13)</f>
        <v>0.20499999999999999</v>
      </c>
      <c r="T13" s="3"/>
    </row>
    <row r="14" spans="1:20" x14ac:dyDescent="0.25">
      <c r="F14" s="67" t="s">
        <v>74</v>
      </c>
      <c r="G14" s="68">
        <v>750</v>
      </c>
      <c r="H14" s="68"/>
      <c r="I14" s="69">
        <v>0.20499999999999999</v>
      </c>
      <c r="J14" s="71">
        <f>J9</f>
        <v>650</v>
      </c>
      <c r="K14" s="69">
        <f>K9</f>
        <v>0.20499999999999999</v>
      </c>
      <c r="L14" s="69">
        <f>L9</f>
        <v>133.25</v>
      </c>
      <c r="O14" s="5" t="s">
        <v>76</v>
      </c>
      <c r="Q14">
        <f>MAX($I$9+($I$10-$I$9)*(Druckansicht!$D$12-$G$9)/($G$10-$G$9), $I$8)</f>
        <v>0.20499999999999999</v>
      </c>
      <c r="R14" s="15">
        <f>$I$11</f>
        <v>0.56399999999999995</v>
      </c>
      <c r="S14" s="84">
        <f>MAX($I$14+($I$15-$I$14)*(Druckansicht!$D$12-$G$14)/($G$15-$G$14), $I$13)</f>
        <v>0.20499999999999999</v>
      </c>
      <c r="T14" s="3"/>
    </row>
    <row r="15" spans="1:20" x14ac:dyDescent="0.25">
      <c r="F15" s="67" t="s">
        <v>74</v>
      </c>
      <c r="G15" s="68">
        <f>$G$5</f>
        <v>1100</v>
      </c>
      <c r="H15" s="68"/>
      <c r="I15" s="69">
        <v>0.42799999999999999</v>
      </c>
    </row>
    <row r="16" spans="1:20" x14ac:dyDescent="0.25">
      <c r="F16" s="67" t="s">
        <v>77</v>
      </c>
      <c r="G16" s="68">
        <v>650</v>
      </c>
      <c r="H16" s="68"/>
      <c r="I16" s="69">
        <v>0.56399999999999995</v>
      </c>
      <c r="Q16" s="54"/>
    </row>
    <row r="17" spans="6:10" x14ac:dyDescent="0.25">
      <c r="F17" s="67" t="s">
        <v>77</v>
      </c>
      <c r="G17" s="68">
        <f>$G$5</f>
        <v>1100</v>
      </c>
      <c r="H17" s="68"/>
      <c r="I17" s="69">
        <v>0.56399999999999995</v>
      </c>
    </row>
    <row r="18" spans="6:10" x14ac:dyDescent="0.25">
      <c r="F18" s="5" t="s">
        <v>78</v>
      </c>
      <c r="H18" s="8">
        <v>109</v>
      </c>
      <c r="I18" s="15"/>
      <c r="J18" s="8"/>
    </row>
    <row r="19" spans="6:10" x14ac:dyDescent="0.25">
      <c r="F19" s="5" t="s">
        <v>79</v>
      </c>
      <c r="H19" s="8">
        <v>80</v>
      </c>
    </row>
  </sheetData>
  <sheetProtection sheet="1" objects="1" scenarios="1"/>
  <mergeCells count="9">
    <mergeCell ref="M1:N1"/>
    <mergeCell ref="O1:R1"/>
    <mergeCell ref="A4:C4"/>
    <mergeCell ref="D1:E1"/>
    <mergeCell ref="J1:L1"/>
    <mergeCell ref="F1:I1"/>
    <mergeCell ref="A1:C1"/>
    <mergeCell ref="A2:B2"/>
    <mergeCell ref="A3:B3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Dateneingabe</vt:lpstr>
      <vt:lpstr>Druckansicht</vt:lpstr>
      <vt:lpstr>Flugzeugdaten</vt:lpstr>
      <vt:lpstr>Dateneingabe!Druckbereich</vt:lpstr>
      <vt:lpstr>Druckansicht!Druckbereich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Klitzke</dc:creator>
  <cp:keywords/>
  <dc:description/>
  <cp:lastModifiedBy>Jan Klitzke</cp:lastModifiedBy>
  <cp:revision/>
  <cp:lastPrinted>2021-06-18T22:08:25Z</cp:lastPrinted>
  <dcterms:created xsi:type="dcterms:W3CDTF">2021-02-05T21:44:30Z</dcterms:created>
  <dcterms:modified xsi:type="dcterms:W3CDTF">2021-06-18T22:20:49Z</dcterms:modified>
  <cp:category/>
  <cp:contentStatus/>
</cp:coreProperties>
</file>