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cfb2f5d7ece8d37a/EDFZ/M^0B/"/>
    </mc:Choice>
  </mc:AlternateContent>
  <xr:revisionPtr revIDLastSave="189" documentId="8_{A53404F3-B998-4E7A-80AC-18594E880B60}" xr6:coauthVersionLast="47" xr6:coauthVersionMax="47" xr10:uidLastSave="{4B0089A9-ADC1-46F6-B041-344FDCD0B819}"/>
  <bookViews>
    <workbookView xWindow="-120" yWindow="-120" windowWidth="29040" windowHeight="15840" xr2:uid="{00000000-000D-0000-FFFF-FFFF00000000}"/>
  </bookViews>
  <sheets>
    <sheet name="Dateneingabe" sheetId="4" r:id="rId1"/>
    <sheet name="Druckansicht" sheetId="2" r:id="rId2"/>
    <sheet name="Flugzeugdaten" sheetId="3" state="hidden" r:id="rId3"/>
  </sheets>
  <definedNames>
    <definedName name="_xlnm.Print_Area" localSheetId="0">Dateneingabe!$A$24:$E$24</definedName>
    <definedName name="_xlnm.Print_Area" localSheetId="1">Druckansicht!$A$1:$G$47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15" i="2"/>
  <c r="J4" i="3"/>
  <c r="A9" i="2"/>
  <c r="A10" i="4" s="1"/>
  <c r="A10" i="2"/>
  <c r="Q9" i="3"/>
  <c r="F9" i="2"/>
  <c r="B2" i="4"/>
  <c r="A1" i="2" l="1"/>
  <c r="A1" i="4" s="1"/>
  <c r="A11" i="4"/>
  <c r="A20" i="4"/>
  <c r="A21" i="4"/>
  <c r="A2" i="2"/>
  <c r="A2" i="4" s="1"/>
  <c r="J1" i="4"/>
  <c r="D1" i="4"/>
  <c r="F2" i="2"/>
  <c r="J2" i="4" s="1"/>
  <c r="B6" i="4"/>
  <c r="G5" i="2" s="1"/>
  <c r="C5" i="2"/>
  <c r="G4" i="2"/>
  <c r="D4" i="2"/>
  <c r="A22" i="4"/>
  <c r="A16" i="4"/>
  <c r="A15" i="4"/>
  <c r="C16" i="2"/>
  <c r="D16" i="2" s="1"/>
  <c r="C14" i="2"/>
  <c r="D14" i="2" s="1"/>
  <c r="C12" i="2"/>
  <c r="D12" i="2" s="1"/>
  <c r="D10" i="2"/>
  <c r="D9" i="2"/>
  <c r="E9" i="2"/>
  <c r="Q10" i="3"/>
  <c r="B6" i="3"/>
  <c r="F8" i="2" s="1"/>
  <c r="F16" i="2"/>
  <c r="F14" i="2"/>
  <c r="F12" i="2"/>
  <c r="D8" i="2"/>
  <c r="G8" i="2"/>
  <c r="F10" i="2"/>
  <c r="A12" i="2"/>
  <c r="A14" i="4" s="1"/>
  <c r="K5" i="3"/>
  <c r="K6" i="3" s="1"/>
  <c r="J5" i="3"/>
  <c r="K3" i="3"/>
  <c r="K7" i="3" s="1"/>
  <c r="J3" i="3"/>
  <c r="J7" i="3" s="1"/>
  <c r="L5" i="3" l="1"/>
  <c r="G9" i="2"/>
  <c r="K4" i="3"/>
  <c r="J6" i="3"/>
  <c r="L6" i="3"/>
  <c r="L3" i="3"/>
  <c r="L7" i="3" s="1"/>
  <c r="L4" i="3"/>
  <c r="G12" i="2"/>
  <c r="G16" i="2"/>
  <c r="G10" i="2"/>
  <c r="D11" i="2"/>
  <c r="D13" i="2" s="1"/>
  <c r="D15" i="2" s="1"/>
  <c r="G14" i="2"/>
  <c r="G11" i="2" l="1"/>
  <c r="F11" i="2" s="1"/>
  <c r="E22" i="4" s="1"/>
  <c r="D22" i="4"/>
  <c r="D17" i="2"/>
  <c r="D21" i="4" s="1"/>
  <c r="D20" i="4"/>
  <c r="G13" i="2" l="1"/>
  <c r="F13" i="2" s="1"/>
  <c r="G15" i="2" l="1"/>
  <c r="G17" i="2" s="1"/>
  <c r="F17" i="2" s="1"/>
  <c r="E21" i="4" s="1"/>
  <c r="F15" i="2" l="1"/>
  <c r="E20" i="4" s="1"/>
</calcChain>
</file>

<file path=xl/sharedStrings.xml><?xml version="1.0" encoding="utf-8"?>
<sst xmlns="http://schemas.openxmlformats.org/spreadsheetml/2006/main" count="87" uniqueCount="69">
  <si>
    <t>Angaben zum Flug</t>
  </si>
  <si>
    <t>Route</t>
  </si>
  <si>
    <t>von</t>
  </si>
  <si>
    <t>EDFZ</t>
  </si>
  <si>
    <t>nach</t>
  </si>
  <si>
    <t>Flugdatum</t>
  </si>
  <si>
    <t>PIC</t>
  </si>
  <si>
    <t>Beladung</t>
  </si>
  <si>
    <t>[kg]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</si>
  <si>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</si>
  <si>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</si>
  <si>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</si>
  <si>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</si>
  <si>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</si>
  <si>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</si>
  <si>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</si>
  <si>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</si>
  <si>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</si>
  <si>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</si>
  <si>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</si>
  <si>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</si>
  <si>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</si>
  <si>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</si>
  <si>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Rollmasse</t>
  </si>
  <si>
    <t>Treibstoff für Anlassen &amp; Rollen</t>
  </si>
  <si>
    <t>Treibstoff für Flugstrecke</t>
  </si>
  <si>
    <t>Masse &amp; Schwerpunkt // Diagramm</t>
  </si>
  <si>
    <t>Zulässiger Flugmassen-Schwerpunktbereich</t>
  </si>
  <si>
    <t>VORNE</t>
  </si>
  <si>
    <t>HINTEN</t>
  </si>
  <si>
    <t>Kein Ersatz für die im Flughandbuch beschriebene Berechnung. Alle Angaben ohne Gewähr.</t>
  </si>
  <si>
    <t>Flugzeugdaten</t>
  </si>
  <si>
    <t>Hebelarme ab Flügelvorderkante (BE)</t>
  </si>
  <si>
    <t>Betriebsgrenzen</t>
  </si>
  <si>
    <t>Massen-/Momentengrenzen</t>
  </si>
  <si>
    <t>Umrechnungstabelle</t>
  </si>
  <si>
    <t>Diagrammformatierung</t>
  </si>
  <si>
    <t>Registrierung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</si>
  <si>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</si>
  <si>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</si>
  <si>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</si>
  <si>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</si>
  <si>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</si>
  <si>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</si>
  <si>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</si>
  <si>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</si>
  <si>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Höchstzulässige Startmasse</t>
  </si>
  <si>
    <t>kg/L</t>
  </si>
  <si>
    <t>untere Gewichtsgrenze</t>
  </si>
  <si>
    <t>Höchstzulässige Landemasse</t>
  </si>
  <si>
    <t>x-Achse</t>
  </si>
  <si>
    <t>Gepäck</t>
  </si>
  <si>
    <t>Höchszulässige Masse im Gepäckraum</t>
  </si>
  <si>
    <t>y-Achse</t>
  </si>
  <si>
    <t>Ausfliegbarer Treibstoff</t>
  </si>
  <si>
    <t>Vorderste Flugmassen-Schwerpunktlage</t>
  </si>
  <si>
    <t>Hinterste Flugmassen-Schwerpunktlage</t>
  </si>
  <si>
    <t>30 min reserve</t>
  </si>
  <si>
    <t>45 min reserve</t>
  </si>
  <si>
    <t>Start</t>
  </si>
  <si>
    <t>Landung</t>
  </si>
  <si>
    <t>ohne Treibstoff</t>
  </si>
  <si>
    <t>Pilotensitze</t>
  </si>
  <si>
    <t>Benzin</t>
  </si>
  <si>
    <t>Mindestzuladung im Führersitz</t>
  </si>
  <si>
    <t>Höchstzuladung pro Sitz</t>
  </si>
  <si>
    <t>D-MMZF</t>
  </si>
  <si>
    <t>B&amp;F FK9 Mk V</t>
  </si>
  <si>
    <t>Wägedaten vom 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</si>
</sst>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0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0" fontId="0" fillId="0" borderId="7" xfId="0" applyBorder="1"/>
    <xf numFmtId="1" fontId="0" fillId="0" borderId="0" xfId="0" applyNumberFormat="1"/>
    <xf numFmtId="1" fontId="0" fillId="0" borderId="4" xfId="0" applyNumberFormat="1" applyBorder="1"/>
    <xf numFmtId="0" fontId="0" fillId="0" borderId="0" xfId="1" applyNumberFormat="1" applyFont="1"/>
    <xf numFmtId="164" fontId="8" fillId="0" borderId="7" xfId="0" applyNumberFormat="1" applyFont="1" applyBorder="1"/>
    <xf numFmtId="165" fontId="8" fillId="0" borderId="13" xfId="0" applyNumberFormat="1" applyFont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5" fillId="4" borderId="7" xfId="0" applyFont="1" applyFill="1" applyBorder="1"/>
    <xf numFmtId="0" fontId="5" fillId="4" borderId="8" xfId="0" applyFont="1" applyFill="1" applyBorder="1"/>
    <xf numFmtId="0" fontId="5" fillId="4" borderId="2" xfId="0" applyFont="1" applyFill="1" applyBorder="1"/>
    <xf numFmtId="0" fontId="5" fillId="4" borderId="9" xfId="0" applyFont="1" applyFill="1" applyBorder="1"/>
    <xf numFmtId="0" fontId="0" fillId="4" borderId="8" xfId="0" applyFill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4" xfId="0" applyBorder="1"/>
    <xf numFmtId="0" fontId="0" fillId="0" borderId="10" xfId="0" applyBorder="1"/>
    <xf numFmtId="0" fontId="8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10" fillId="0" borderId="1" xfId="0" applyNumberFormat="1" applyFont="1" applyBorder="1"/>
    <xf numFmtId="2" fontId="10" fillId="0" borderId="1" xfId="0" applyNumberFormat="1" applyFont="1" applyBorder="1"/>
    <xf numFmtId="2" fontId="10" fillId="3" borderId="1" xfId="0" applyNumberFormat="1" applyFont="1" applyFill="1" applyBorder="1"/>
    <xf numFmtId="165" fontId="11" fillId="3" borderId="1" xfId="0" applyNumberFormat="1" applyFont="1" applyFill="1" applyBorder="1"/>
    <xf numFmtId="0" fontId="12" fillId="0" borderId="0" xfId="0" applyFont="1"/>
    <xf numFmtId="0" fontId="12" fillId="0" borderId="13" xfId="0" applyFon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164" fontId="8" fillId="0" borderId="2" xfId="0" applyNumberFormat="1" applyFont="1" applyBorder="1"/>
    <xf numFmtId="165" fontId="8" fillId="0" borderId="1" xfId="0" applyNumberFormat="1" applyFont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  <xf numFmtId="0" fontId="13" fillId="0" borderId="12" xfId="0" applyFont="1" applyBorder="1" applyAlignment="1">
      <alignment vertical="center"/>
    </xf>
    <xf numFmtId="1" fontId="0" fillId="0" borderId="2" xfId="0" applyNumberFormat="1" applyBorder="1"/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8" xfId="0" applyFont="1" applyBorder="1"/>
    <xf numFmtId="0" fontId="5" fillId="0" borderId="9" xfId="0" applyFont="1" applyBorder="1"/>
    <xf numFmtId="0" fontId="5" fillId="3" borderId="2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6" borderId="2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2" borderId="2" xfId="0" applyFont="1" applyFill="1" applyBorder="1"/>
    <xf numFmtId="0" fontId="1" fillId="2" borderId="9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9" fontId="0" fillId="0" borderId="2" xfId="1" applyFont="1" applyBorder="1" applyAlignment="1"/>
    <xf numFmtId="9" fontId="0" fillId="0" borderId="9" xfId="1" applyFont="1" applyBorder="1" applyAlignment="1"/>
    <xf numFmtId="0" fontId="0" fillId="0" borderId="2" xfId="0" applyBorder="1"/>
    <xf numFmtId="0" fontId="0" fillId="0" borderId="9" xfId="0" applyBorder="1"/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2" fillId="3" borderId="2" xfId="0" applyNumberFormat="1" applyFont="1" applyFill="1" applyBorder="1"/>
    <xf numFmtId="164" fontId="2" fillId="3" borderId="9" xfId="0" applyNumberFormat="1" applyFont="1" applyFill="1" applyBorder="1"/>
    <xf numFmtId="164" fontId="0" fillId="0" borderId="2" xfId="0" applyNumberFormat="1" applyBorder="1"/>
    <xf numFmtId="164" fontId="0" fillId="0" borderId="9" xfId="0" applyNumberFormat="1" applyBorder="1"/>
    <xf numFmtId="0" fontId="0" fillId="0" borderId="8" xfId="0" applyBorder="1"/>
    <xf numFmtId="0" fontId="0" fillId="0" borderId="14" xfId="0" applyBorder="1"/>
    <xf numFmtId="0" fontId="0" fillId="0" borderId="11" xfId="0" applyBorder="1"/>
    <xf numFmtId="164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6" xfId="0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VORNE</a:t>
            </a:r>
            <a:r>
              <a:rPr lang="de-DE" baseline="0"/>
              <a:t>				HINTEN</a:t>
            </a:r>
            <a:endParaRPr lang="de-DE"/>
          </a:p>
        </c:rich>
      </c:tx>
      <c:layout>
        <c:manualLayout>
          <c:xMode val="edge"/>
          <c:yMode val="edge"/>
          <c:x val="0.13711752313855505"/>
          <c:y val="2.966766376491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0.44</c:v>
                </c:pt>
                <c:pt idx="1">
                  <c:v>0.44</c:v>
                </c:pt>
                <c:pt idx="2">
                  <c:v>0.22</c:v>
                </c:pt>
                <c:pt idx="3">
                  <c:v>0.22</c:v>
                </c:pt>
                <c:pt idx="4">
                  <c:v>0.44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472.5</c:v>
                </c:pt>
                <c:pt idx="1">
                  <c:v>377</c:v>
                </c:pt>
                <c:pt idx="2">
                  <c:v>377</c:v>
                </c:pt>
                <c:pt idx="3">
                  <c:v>472.5</c:v>
                </c:pt>
                <c:pt idx="4">
                  <c:v>472.5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4-4253-9DAF-10BE30D11260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44000" rIns="38100" bIns="0" anchor="b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Flugzeugdaten!$I$8:$I$9</c:f>
              <c:numCache>
                <c:formatCode>0.000</c:formatCode>
                <c:ptCount val="2"/>
                <c:pt idx="0">
                  <c:v>0.22</c:v>
                </c:pt>
                <c:pt idx="1">
                  <c:v>0.44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370</c:v>
                </c:pt>
                <c:pt idx="1">
                  <c:v>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4-4253-9DAF-10BE30D11260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dLbl>
              <c:idx val="0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2520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4B23-4BD8-81DE-49E51A91F5E8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9050" rIns="2520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472.5</c:v>
                </c:pt>
                <c:pt idx="1">
                  <c:v>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4-4253-9DAF-10BE30D11260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210978B-8167-4F1F-AE9B-F7A19DA0029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14-4253-9DAF-10BE30D112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2B6BCF-9B41-4CA2-B22F-89A82EF0D54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E14-4253-9DAF-10BE30D112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FB01D7-33C4-4E30-8F90-49B7FAC8864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14-4253-9DAF-10BE30D11260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(Druckansicht!$F$15,Druckansicht!$F$17,Druckansicht!$F$11)</c:f>
              <c:numCache>
                <c:formatCode>0.000</c:formatCode>
                <c:ptCount val="3"/>
                <c:pt idx="0">
                  <c:v>0.25806819622258836</c:v>
                </c:pt>
                <c:pt idx="1">
                  <c:v>0.25806819622258836</c:v>
                </c:pt>
                <c:pt idx="2">
                  <c:v>0.2616656151419558</c:v>
                </c:pt>
              </c:numCache>
            </c:numRef>
          </c:xVal>
          <c:yVal>
            <c:numRef>
              <c:f>(Druckansicht!$D$15,Druckansicht!$D$17,Druckansicht!$D$11)</c:f>
              <c:numCache>
                <c:formatCode>0.0</c:formatCode>
                <c:ptCount val="3"/>
                <c:pt idx="0">
                  <c:v>315.56</c:v>
                </c:pt>
                <c:pt idx="1">
                  <c:v>315.56</c:v>
                </c:pt>
                <c:pt idx="2">
                  <c:v>317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E14-4253-9DAF-10BE30D1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ax val="0.45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ax val="480"/>
          <c:min val="37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0.44</c:v>
                </c:pt>
                <c:pt idx="1">
                  <c:v>0.44</c:v>
                </c:pt>
                <c:pt idx="2">
                  <c:v>0.22</c:v>
                </c:pt>
                <c:pt idx="3">
                  <c:v>0.22</c:v>
                </c:pt>
                <c:pt idx="4">
                  <c:v>0.44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472.5</c:v>
                </c:pt>
                <c:pt idx="1">
                  <c:v>377</c:v>
                </c:pt>
                <c:pt idx="2">
                  <c:v>377</c:v>
                </c:pt>
                <c:pt idx="3">
                  <c:v>472.5</c:v>
                </c:pt>
                <c:pt idx="4">
                  <c:v>472.5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5-4001-AB85-990617947106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Flugzeugdaten!$I$8:$I$9</c:f>
              <c:numCache>
                <c:formatCode>0.000</c:formatCode>
                <c:ptCount val="2"/>
                <c:pt idx="0">
                  <c:v>0.22</c:v>
                </c:pt>
                <c:pt idx="1">
                  <c:v>0.44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370</c:v>
                </c:pt>
                <c:pt idx="1">
                  <c:v>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5-4001-AB85-990617947106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dLbl>
              <c:idx val="0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2520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F1B-498E-9679-4FA5B733F33D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472.5</c:v>
                </c:pt>
                <c:pt idx="1">
                  <c:v>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5-4001-AB85-990617947106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8BF7C4-1517-4F7A-BE6D-784A68A84B7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95-4001-AB85-9906179471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2CDE3E-69F5-40B1-BC5A-4109693CA9C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B95-4001-AB85-9906179471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124C533-292C-4E35-97A4-8DE7877D769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B95-4001-AB85-990617947106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(Druckansicht!$F$15,Druckansicht!$F$17,Druckansicht!$F$11)</c:f>
              <c:numCache>
                <c:formatCode>0.000</c:formatCode>
                <c:ptCount val="3"/>
                <c:pt idx="0">
                  <c:v>0.25806819622258836</c:v>
                </c:pt>
                <c:pt idx="1">
                  <c:v>0.25806819622258836</c:v>
                </c:pt>
                <c:pt idx="2">
                  <c:v>0.2616656151419558</c:v>
                </c:pt>
              </c:numCache>
            </c:numRef>
          </c:xVal>
          <c:yVal>
            <c:numRef>
              <c:f>(Druckansicht!$D$15,Druckansicht!$D$17,Druckansicht!$D$11)</c:f>
              <c:numCache>
                <c:formatCode>0.0</c:formatCode>
                <c:ptCount val="3"/>
                <c:pt idx="0">
                  <c:v>315.56</c:v>
                </c:pt>
                <c:pt idx="1">
                  <c:v>315.56</c:v>
                </c:pt>
                <c:pt idx="2">
                  <c:v>317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B95-4001-AB85-99061794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ax val="0.45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ax val="480"/>
          <c:min val="37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180975</xdr:rowOff>
    </xdr:from>
    <xdr:to>
      <xdr:col>12</xdr:col>
      <xdr:colOff>647700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187569</xdr:rowOff>
    </xdr:from>
    <xdr:to>
      <xdr:col>6</xdr:col>
      <xdr:colOff>904875</xdr:colOff>
      <xdr:row>45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1"/>
  </sheetPr>
  <dimension ref="A1:N24"/>
  <sheetViews>
    <sheetView showGridLines="0" showRowColHeaders="0" tabSelected="1" zoomScaleNormal="100" workbookViewId="0">
      <selection activeCell="C5" sqref="C5"/>
    </sheetView>
  </sheetViews>
  <sheetFormatPr baseColWidth="10" defaultColWidth="11.42578125" defaultRowHeight="15" x14ac:dyDescent="0.25"/>
  <cols>
    <col min="1" max="1" width="15.28515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86" t="str">
        <f>Druckansicht!$A$1</f>
        <v>D-MMZF</v>
      </c>
      <c r="B1" s="86"/>
      <c r="C1" s="86"/>
      <c r="D1" s="87" t="str">
        <f>Druckansicht!$B$1</f>
        <v>Masse &amp; Schwerpunkt Berechnung</v>
      </c>
      <c r="E1" s="87"/>
      <c r="F1" s="87"/>
      <c r="G1" s="87"/>
      <c r="H1" s="87"/>
      <c r="I1" s="87"/>
      <c r="J1" s="84" t="str">
        <f>Druckansicht!$F$1</f>
        <v>Luftfahrtverein Mainz e.V.</v>
      </c>
      <c r="K1" s="84"/>
      <c r="L1" s="84"/>
      <c r="M1" s="46"/>
      <c r="N1" s="46"/>
    </row>
    <row r="2" spans="1:14" ht="18.75" customHeight="1" x14ac:dyDescent="0.3">
      <c r="A2" s="55" t="str">
        <f>Druckansicht!$A$2</f>
        <v>B&amp;F FK9 Mk V</v>
      </c>
      <c r="B2" s="85" t="str">
        <f>Druckansicht!$A$47</f>
        <v>Kein Ersatz für die im Flughandbuch beschriebene Berechnung. Alle Angaben ohne Gewähr.</v>
      </c>
      <c r="C2" s="85"/>
      <c r="D2" s="85"/>
      <c r="E2" s="85"/>
      <c r="F2" s="85"/>
      <c r="G2" s="85"/>
      <c r="H2" s="85"/>
      <c r="I2" s="85"/>
      <c r="J2" s="84" t="str">
        <f>Druckansicht!$F$2</f>
        <v>Wägedaten vom 07.12.2022</v>
      </c>
      <c r="K2" s="84"/>
      <c r="L2" s="84"/>
      <c r="M2" s="46"/>
      <c r="N2" s="46"/>
    </row>
    <row r="4" spans="1:14" ht="18.75" x14ac:dyDescent="0.3">
      <c r="A4" s="76" t="s">
        <v>0</v>
      </c>
      <c r="B4" s="77"/>
      <c r="C4" s="77"/>
      <c r="D4" s="77"/>
      <c r="E4" s="78"/>
    </row>
    <row r="5" spans="1:14" ht="18.75" x14ac:dyDescent="0.3">
      <c r="A5" s="30" t="s">
        <v>1</v>
      </c>
      <c r="B5" s="22" t="s">
        <v>2</v>
      </c>
      <c r="C5" s="39" t="s">
        <v>3</v>
      </c>
      <c r="D5" s="40" t="s">
        <v>4</v>
      </c>
      <c r="E5" s="25" t="s">
        <v>3</v>
      </c>
      <c r="F5" s="11"/>
    </row>
    <row r="6" spans="1:14" ht="18.75" x14ac:dyDescent="0.3">
      <c r="A6" s="31" t="s">
        <v>5</v>
      </c>
      <c r="B6" s="88">
        <f ca="1">TODAY()</f>
        <v>44907</v>
      </c>
      <c r="C6" s="88"/>
      <c r="D6" s="88"/>
      <c r="E6" s="89"/>
      <c r="F6" s="11"/>
    </row>
    <row r="7" spans="1:14" ht="18.75" x14ac:dyDescent="0.3">
      <c r="A7" s="32" t="s">
        <v>6</v>
      </c>
      <c r="B7" s="82"/>
      <c r="C7" s="82"/>
      <c r="D7" s="82"/>
      <c r="E7" s="83"/>
      <c r="F7" s="11"/>
    </row>
    <row r="8" spans="1:14" x14ac:dyDescent="0.25">
      <c r="B8" s="45"/>
    </row>
    <row r="9" spans="1:14" ht="18.75" x14ac:dyDescent="0.3">
      <c r="A9" s="76" t="s">
        <v>7</v>
      </c>
      <c r="B9" s="77"/>
      <c r="C9" s="77"/>
      <c r="D9" s="77"/>
      <c r="E9" s="33" t="s">
        <v>8</v>
      </c>
    </row>
    <row r="10" spans="1:14" ht="18.75" x14ac:dyDescent="0.3">
      <c r="A10" s="34" t="str">
        <f>Druckansicht!A9</f>
        <v>Pilot &amp; Passagier (je max. 100 kg)</v>
      </c>
      <c r="B10" s="38"/>
      <c r="D10" s="21"/>
      <c r="E10" s="21"/>
    </row>
    <row r="11" spans="1:14" ht="18.75" x14ac:dyDescent="0.3">
      <c r="A11" s="36" t="str">
        <f>Druckansicht!A10</f>
        <v>Gepäck (max. 20 kg)</v>
      </c>
      <c r="B11" s="35"/>
      <c r="C11" s="38"/>
      <c r="D11" s="37"/>
      <c r="E11" s="21"/>
    </row>
    <row r="13" spans="1:14" ht="18.75" x14ac:dyDescent="0.3">
      <c r="A13" s="76" t="s">
        <v>9</v>
      </c>
      <c r="B13" s="77"/>
      <c r="C13" s="77"/>
      <c r="D13" s="77"/>
      <c r="E13" s="33" t="s">
        <v>10</v>
      </c>
    </row>
    <row r="14" spans="1:14" ht="18.75" x14ac:dyDescent="0.3">
      <c r="A14" s="67" t="str">
        <f>Druckansicht!A12</f>
        <v>Ausfliegbarer Treibstoff (max. 59,0 L)</v>
      </c>
      <c r="B14" s="68"/>
      <c r="C14" s="68"/>
      <c r="D14" s="69"/>
      <c r="E14" s="21"/>
    </row>
    <row r="15" spans="1:14" ht="18.75" x14ac:dyDescent="0.3">
      <c r="A15" s="70" t="str">
        <f>Druckansicht!A14</f>
        <v>Treibstoff für Anlassen &amp; Rollen</v>
      </c>
      <c r="B15" s="71"/>
      <c r="C15" s="71"/>
      <c r="D15" s="72"/>
      <c r="E15" s="21">
        <v>2</v>
      </c>
    </row>
    <row r="16" spans="1:14" ht="18.75" x14ac:dyDescent="0.3">
      <c r="A16" s="73" t="str">
        <f>Druckansicht!A16</f>
        <v>Treibstoff für Flugstrecke</v>
      </c>
      <c r="B16" s="74"/>
      <c r="C16" s="74"/>
      <c r="D16" s="75"/>
      <c r="E16" s="21"/>
    </row>
    <row r="18" spans="1:5" ht="18.75" x14ac:dyDescent="0.3">
      <c r="A18" s="76" t="s">
        <v>11</v>
      </c>
      <c r="B18" s="77"/>
      <c r="C18" s="77"/>
      <c r="D18" s="77"/>
      <c r="E18" s="78"/>
    </row>
    <row r="19" spans="1:5" ht="18.75" x14ac:dyDescent="0.3">
      <c r="A19" s="79"/>
      <c r="B19" s="80"/>
      <c r="C19" s="81"/>
      <c r="D19" s="41" t="s">
        <v>12</v>
      </c>
      <c r="E19" s="42" t="s">
        <v>13</v>
      </c>
    </row>
    <row r="20" spans="1:5" ht="18.75" x14ac:dyDescent="0.3">
      <c r="A20" s="67" t="str">
        <f>Druckansicht!A15</f>
        <v>Startmasse (max. 472,5 kg)</v>
      </c>
      <c r="B20" s="68"/>
      <c r="C20" s="69"/>
      <c r="D20" s="60">
        <f>Druckansicht!D15</f>
        <v>315.56</v>
      </c>
      <c r="E20" s="61">
        <f>Druckansicht!F15</f>
        <v>0.25806819622258836</v>
      </c>
    </row>
    <row r="21" spans="1:5" ht="18.75" x14ac:dyDescent="0.3">
      <c r="A21" s="70" t="str">
        <f>Druckansicht!A17</f>
        <v>Landemasse (max. 472,5 kg)</v>
      </c>
      <c r="B21" s="71"/>
      <c r="C21" s="72"/>
      <c r="D21" s="62">
        <f>Druckansicht!D17</f>
        <v>315.56</v>
      </c>
      <c r="E21" s="63">
        <f>Druckansicht!F17</f>
        <v>0.25806819622258836</v>
      </c>
    </row>
    <row r="22" spans="1:5" ht="18.75" x14ac:dyDescent="0.3">
      <c r="A22" s="67" t="str">
        <f>Druckansicht!A11</f>
        <v>Flugmasse ohne Treibstoff</v>
      </c>
      <c r="B22" s="68"/>
      <c r="C22" s="69"/>
      <c r="D22" s="12">
        <f>Druckansicht!D11</f>
        <v>317</v>
      </c>
      <c r="E22" s="13">
        <f>Druckansicht!F11</f>
        <v>0.2616656151419558</v>
      </c>
    </row>
    <row r="24" spans="1:5" x14ac:dyDescent="0.25">
      <c r="A24" s="66" t="s">
        <v>14</v>
      </c>
      <c r="B24" s="66"/>
      <c r="C24" s="66"/>
      <c r="D24" s="66"/>
      <c r="E24" s="66"/>
    </row>
  </sheetData>
  <sheetProtection sheet="1" selectLockedCells="1"/>
  <mergeCells count="19">
    <mergeCell ref="B7:E7"/>
    <mergeCell ref="A13:D13"/>
    <mergeCell ref="J2:L2"/>
    <mergeCell ref="J1:L1"/>
    <mergeCell ref="B2:I2"/>
    <mergeCell ref="A1:C1"/>
    <mergeCell ref="D1:I1"/>
    <mergeCell ref="A4:E4"/>
    <mergeCell ref="B6:E6"/>
    <mergeCell ref="A9:D9"/>
    <mergeCell ref="A24:E24"/>
    <mergeCell ref="A20:C20"/>
    <mergeCell ref="A21:C21"/>
    <mergeCell ref="A14:D14"/>
    <mergeCell ref="A15:D15"/>
    <mergeCell ref="A16:D16"/>
    <mergeCell ref="A18:E18"/>
    <mergeCell ref="A22:C22"/>
    <mergeCell ref="A19:C1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E15</xm:sqref>
        </x14:conditionalFormatting>
        <x14:conditionalFormatting xmlns:xm="http://schemas.microsoft.com/office/excel/2006/main">
          <x14:cfRule type="iconSet" priority="1" id="{BEF4BCDD-4466-4FB5-9937-C52770A65E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Flugzeugdaten!$G$6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E10</xm:sqref>
        </x14:conditionalFormatting>
        <x14:conditionalFormatting xmlns:xm="http://schemas.microsoft.com/office/excel/2006/main">
          <x14:cfRule type="iconSet" priority="22" id="{33E0FA0B-349B-4538-8FD5-C61702FCE636}">
            <x14:iconSet custom="1">
              <x14:cfvo type="percent">
                <xm:f>0</xm:f>
              </x14:cfvo>
              <x14:cfvo type="formula">
                <xm:f>$E$14-$E$15-Flugzeugdaten!$Q$10</xm:f>
              </x14:cfvo>
              <x14:cfvo type="formula">
                <xm:f>$E$14-$E$15-Flugzeugdaten!$Q$9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E16</xm:sqref>
        </x14:conditionalFormatting>
        <x14:conditionalFormatting xmlns:xm="http://schemas.microsoft.com/office/excel/2006/main">
          <x14:cfRule type="iconSet" priority="23" id="{D64BFDFD-0E8A-4495-9145-267D83350995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D20:D22</xm:sqref>
        </x14:conditionalFormatting>
        <x14:conditionalFormatting xmlns:xm="http://schemas.microsoft.com/office/excel/2006/main">
          <x14:cfRule type="iconSet" priority="27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E11</xm:sqref>
        </x14:conditionalFormatting>
        <x14:conditionalFormatting xmlns:xm="http://schemas.microsoft.com/office/excel/2006/main">
          <x14:cfRule type="iconSet" priority="28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Flugzeugdaten!$H$10</xm:f>
              </x14:cfvo>
              <x14:cfIcon iconSet="NoIcons" iconId="0"/>
              <x14:cfIcon iconSet="NoIcons" iconId="0"/>
              <x14:cfIcon iconSet="3Symbols" iconId="0"/>
            </x14:iconSet>
          </x14:cfRule>
          <xm:sqref>E14</xm:sqref>
        </x14:conditionalFormatting>
        <x14:conditionalFormatting xmlns:xm="http://schemas.microsoft.com/office/excel/2006/main">
          <x14:cfRule type="iconSet" priority="29" id="{A6F58696-C2C8-4F88-9092-9F161B4791A2}">
            <x14:iconSet custom="1">
              <x14:cfvo type="percent">
                <xm:f>0</xm:f>
              </x14:cfvo>
              <x14:cfvo type="formula">
                <xm:f>Flugzeugdaten!$I$8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E20:E22</xm:sqref>
        </x14:conditionalFormatting>
        <x14:conditionalFormatting xmlns:xm="http://schemas.microsoft.com/office/excel/2006/main">
          <x14:cfRule type="iconSet" priority="2" id="{5A94EA21-F0A3-4900-8E70-D92305750167}">
            <x14:iconSet iconSet="3Symbols" custom="1">
              <x14:cfvo type="percent">
                <xm:f>0</xm:f>
              </x14:cfvo>
              <x14:cfvo type="num">
                <xm:f>Flugzeugdaten!$G$5</xm:f>
              </x14:cfvo>
              <x14:cfvo type="num" gte="0">
                <xm:f>Flugzeugdaten!$G$6</xm:f>
              </x14:cfvo>
              <x14:cfIcon iconSet="3Symbols" iconId="0"/>
              <x14:cfIcon iconSet="NoIcons" iconId="0"/>
              <x14:cfIcon iconSet="3Symbols" iconId="0"/>
            </x14:iconSet>
          </x14:cfRule>
          <xm:sqref>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/>
  </sheetPr>
  <dimension ref="A1:I47"/>
  <sheetViews>
    <sheetView showGridLines="0" showRowColHeaders="0" showWhiteSpace="0" zoomScaleNormal="100" workbookViewId="0"/>
  </sheetViews>
  <sheetFormatPr baseColWidth="10"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3.25" x14ac:dyDescent="0.3">
      <c r="A1" s="64" t="str">
        <f>Flugzeugdaten!$C$2</f>
        <v>D-MMZF</v>
      </c>
      <c r="B1" s="90" t="s">
        <v>15</v>
      </c>
      <c r="C1" s="90"/>
      <c r="D1" s="90"/>
      <c r="E1" s="90"/>
      <c r="F1" s="91" t="s">
        <v>16</v>
      </c>
      <c r="G1" s="91"/>
      <c r="H1" s="46"/>
      <c r="I1" s="46"/>
    </row>
    <row r="2" spans="1:9" ht="18.75" x14ac:dyDescent="0.3">
      <c r="A2" s="56" t="str">
        <f>Flugzeugdaten!$C$3</f>
        <v>B&amp;F FK9 Mk V</v>
      </c>
      <c r="C2" s="28"/>
      <c r="F2" s="92" t="str">
        <f>Flugzeugdaten!$A$4</f>
        <v>Wägedaten vom 07.12.2022</v>
      </c>
      <c r="G2" s="92"/>
      <c r="H2" s="46"/>
      <c r="I2" s="46"/>
    </row>
    <row r="4" spans="1:9" x14ac:dyDescent="0.25">
      <c r="A4" s="93" t="s">
        <v>0</v>
      </c>
      <c r="B4" s="94"/>
      <c r="C4" s="48" t="s">
        <v>2</v>
      </c>
      <c r="D4" s="103" t="str">
        <f>Dateneingabe!C5</f>
        <v>EDFZ</v>
      </c>
      <c r="E4" s="103"/>
      <c r="F4" s="47" t="s">
        <v>4</v>
      </c>
      <c r="G4" s="49" t="str">
        <f>Dateneingabe!E5</f>
        <v>EDFZ</v>
      </c>
    </row>
    <row r="5" spans="1:9" x14ac:dyDescent="0.25">
      <c r="A5" s="101" t="s">
        <v>6</v>
      </c>
      <c r="B5" s="102"/>
      <c r="C5" s="101">
        <f>Dateneingabe!B7</f>
        <v>0</v>
      </c>
      <c r="D5" s="103"/>
      <c r="E5" s="102"/>
      <c r="F5" s="23" t="s">
        <v>5</v>
      </c>
      <c r="G5" s="24">
        <f ca="1">Dateneingabe!B6</f>
        <v>44907</v>
      </c>
    </row>
    <row r="6" spans="1:9" x14ac:dyDescent="0.25">
      <c r="A6" s="110"/>
      <c r="B6" s="110"/>
    </row>
    <row r="7" spans="1:9" x14ac:dyDescent="0.25">
      <c r="A7" s="93" t="s">
        <v>17</v>
      </c>
      <c r="B7" s="94"/>
      <c r="C7" s="50" t="s">
        <v>18</v>
      </c>
      <c r="D7" s="104" t="s">
        <v>12</v>
      </c>
      <c r="E7" s="104"/>
      <c r="F7" s="50" t="s">
        <v>19</v>
      </c>
      <c r="G7" s="50" t="s">
        <v>20</v>
      </c>
    </row>
    <row r="8" spans="1:9" x14ac:dyDescent="0.25">
      <c r="A8" s="111" t="s">
        <v>21</v>
      </c>
      <c r="B8" s="112"/>
      <c r="C8" s="2"/>
      <c r="D8" s="113">
        <f>Flugzeugdaten!$A$6</f>
        <v>317</v>
      </c>
      <c r="E8" s="113"/>
      <c r="F8" s="51">
        <f>Flugzeugdaten!$B$6</f>
        <v>0.2616656151419558</v>
      </c>
      <c r="G8" s="52">
        <f>Flugzeugdaten!$C$6</f>
        <v>82.947999999999993</v>
      </c>
    </row>
    <row r="9" spans="1:9" x14ac:dyDescent="0.25">
      <c r="A9" s="44" t="str">
        <f>"Pilot &amp; Passagier (je max. "&amp;TEXT(Flugzeugdaten!$G$6,"0")&amp;" kg)"</f>
        <v>Pilot &amp; Passagier (je max. 100 kg)</v>
      </c>
      <c r="B9" s="43"/>
      <c r="C9" s="2"/>
      <c r="D9" s="65">
        <f>Dateneingabe!$D$10</f>
        <v>0</v>
      </c>
      <c r="E9" s="65">
        <f>Dateneingabe!$E$10</f>
        <v>0</v>
      </c>
      <c r="F9" s="51">
        <f>Flugzeugdaten!$E$3</f>
        <v>0.45</v>
      </c>
      <c r="G9" s="52">
        <f>(D9+E9)*F9</f>
        <v>0</v>
      </c>
    </row>
    <row r="10" spans="1:9" x14ac:dyDescent="0.25">
      <c r="A10" s="58" t="str">
        <f>"Gepäck (max. "&amp;TEXT(Flugzeugdaten!$G$7,"0")&amp;" kg)"</f>
        <v>Gepäck (max. 20 kg)</v>
      </c>
      <c r="B10" s="59"/>
      <c r="C10" s="26"/>
      <c r="D10" s="108">
        <f>Dateneingabe!$E$11</f>
        <v>0</v>
      </c>
      <c r="E10" s="109"/>
      <c r="F10" s="51">
        <f>Flugzeugdaten!$E$4</f>
        <v>1.3</v>
      </c>
      <c r="G10" s="52">
        <f>D10*F10</f>
        <v>0</v>
      </c>
    </row>
    <row r="11" spans="1:9" x14ac:dyDescent="0.25">
      <c r="A11" s="95" t="s">
        <v>22</v>
      </c>
      <c r="B11" s="96"/>
      <c r="C11" s="27"/>
      <c r="D11" s="106">
        <f>SUM(D8:E10)</f>
        <v>317</v>
      </c>
      <c r="E11" s="107"/>
      <c r="F11" s="54">
        <f>G11/D11</f>
        <v>0.2616656151419558</v>
      </c>
      <c r="G11" s="53">
        <f>SUM(G8:G10)</f>
        <v>82.947999999999993</v>
      </c>
    </row>
    <row r="12" spans="1:9" x14ac:dyDescent="0.25">
      <c r="A12" s="99" t="str">
        <f>"Ausfliegbarer Treibstoff (max. "&amp;TEXT(Flugzeugdaten!$H$10,"0,0")&amp;" L)"</f>
        <v>Ausfliegbarer Treibstoff (max. 59,0 L)</v>
      </c>
      <c r="B12" s="100"/>
      <c r="C12" s="3">
        <f>Dateneingabe!$E$14</f>
        <v>0</v>
      </c>
      <c r="D12" s="108">
        <f>C12*Flugzeugdaten!$N$3</f>
        <v>0</v>
      </c>
      <c r="E12" s="109"/>
      <c r="F12" s="51">
        <f>Flugzeugdaten!$E$5</f>
        <v>1.05</v>
      </c>
      <c r="G12" s="52">
        <f>D12*F12</f>
        <v>0</v>
      </c>
    </row>
    <row r="13" spans="1:9" x14ac:dyDescent="0.25">
      <c r="A13" s="95" t="s">
        <v>23</v>
      </c>
      <c r="B13" s="96"/>
      <c r="C13" s="3"/>
      <c r="D13" s="106">
        <f>SUM(D11:D12)</f>
        <v>317</v>
      </c>
      <c r="E13" s="107"/>
      <c r="F13" s="54">
        <f>G13/D13</f>
        <v>0.2616656151419558</v>
      </c>
      <c r="G13" s="53">
        <f>SUM(G11:G12)</f>
        <v>82.947999999999993</v>
      </c>
    </row>
    <row r="14" spans="1:9" x14ac:dyDescent="0.25">
      <c r="A14" s="99" t="s">
        <v>24</v>
      </c>
      <c r="B14" s="100"/>
      <c r="C14" s="3">
        <f>Dateneingabe!$E$15</f>
        <v>2</v>
      </c>
      <c r="D14" s="108">
        <f>-C14*Flugzeugdaten!$N$3</f>
        <v>-1.44</v>
      </c>
      <c r="E14" s="109"/>
      <c r="F14" s="51">
        <f>Flugzeugdaten!$E$5</f>
        <v>1.05</v>
      </c>
      <c r="G14" s="52">
        <f>D14*F14</f>
        <v>-1.512</v>
      </c>
    </row>
    <row r="15" spans="1:9" x14ac:dyDescent="0.25">
      <c r="A15" s="95" t="str">
        <f>"Startmasse (max. "&amp;TEXT(Flugzeugdaten!$G$3, "0,0")&amp;" kg)"</f>
        <v>Startmasse (max. 472,5 kg)</v>
      </c>
      <c r="B15" s="96"/>
      <c r="C15" s="3"/>
      <c r="D15" s="106">
        <f>SUM(D13:D14)</f>
        <v>315.56</v>
      </c>
      <c r="E15" s="107"/>
      <c r="F15" s="54">
        <f>G15/D15</f>
        <v>0.25806819622258836</v>
      </c>
      <c r="G15" s="53">
        <f>SUM(G13:G14)</f>
        <v>81.435999999999993</v>
      </c>
    </row>
    <row r="16" spans="1:9" x14ac:dyDescent="0.25">
      <c r="A16" s="97" t="s">
        <v>25</v>
      </c>
      <c r="B16" s="98"/>
      <c r="C16" s="3">
        <f>Dateneingabe!$E$16</f>
        <v>0</v>
      </c>
      <c r="D16" s="108">
        <f>-C16*Flugzeugdaten!$N$3</f>
        <v>0</v>
      </c>
      <c r="E16" s="109"/>
      <c r="F16" s="51">
        <f>Flugzeugdaten!$E$5</f>
        <v>1.05</v>
      </c>
      <c r="G16" s="52">
        <f>D16*F16</f>
        <v>0</v>
      </c>
    </row>
    <row r="17" spans="1:7" x14ac:dyDescent="0.25">
      <c r="A17" s="95" t="str">
        <f>"Landemasse (max. "&amp;TEXT(Flugzeugdaten!$G$4, "0,0")&amp;" kg)"</f>
        <v>Landemasse (max. 472,5 kg)</v>
      </c>
      <c r="B17" s="96"/>
      <c r="C17" s="3"/>
      <c r="D17" s="106">
        <f>SUM(D15:D16)</f>
        <v>315.56</v>
      </c>
      <c r="E17" s="107"/>
      <c r="F17" s="54">
        <f>G17/D17</f>
        <v>0.25806819622258836</v>
      </c>
      <c r="G17" s="53">
        <f>SUM(G15:G16)</f>
        <v>81.435999999999993</v>
      </c>
    </row>
    <row r="18" spans="1:7" x14ac:dyDescent="0.25">
      <c r="A18" s="57"/>
      <c r="B18" s="57"/>
    </row>
    <row r="19" spans="1:7" x14ac:dyDescent="0.25">
      <c r="A19" s="93" t="s">
        <v>26</v>
      </c>
      <c r="B19" s="94"/>
      <c r="C19" s="105" t="s">
        <v>27</v>
      </c>
      <c r="D19" s="105"/>
      <c r="E19" s="105"/>
      <c r="F19" s="105"/>
      <c r="G19" s="105"/>
    </row>
    <row r="21" spans="1:7" x14ac:dyDescent="0.25">
      <c r="B21" t="s">
        <v>28</v>
      </c>
      <c r="G21" t="s">
        <v>29</v>
      </c>
    </row>
    <row r="47" spans="1:7" x14ac:dyDescent="0.25">
      <c r="A47" s="66" t="s">
        <v>30</v>
      </c>
      <c r="B47" s="66"/>
      <c r="C47" s="66"/>
      <c r="D47" s="66"/>
      <c r="E47" s="66"/>
      <c r="F47" s="66"/>
      <c r="G47" s="66"/>
    </row>
  </sheetData>
  <sheetProtection sheet="1" objects="1" scenarios="1"/>
  <mergeCells count="30">
    <mergeCell ref="A6:B6"/>
    <mergeCell ref="A7:B7"/>
    <mergeCell ref="A8:B8"/>
    <mergeCell ref="D10:E10"/>
    <mergeCell ref="D14:E14"/>
    <mergeCell ref="D8:E8"/>
    <mergeCell ref="A47:G47"/>
    <mergeCell ref="C19:G19"/>
    <mergeCell ref="D11:E11"/>
    <mergeCell ref="D12:E12"/>
    <mergeCell ref="D13:E13"/>
    <mergeCell ref="D15:E15"/>
    <mergeCell ref="D16:E16"/>
    <mergeCell ref="D17:E17"/>
    <mergeCell ref="B1:E1"/>
    <mergeCell ref="F1:G1"/>
    <mergeCell ref="F2:G2"/>
    <mergeCell ref="A19:B19"/>
    <mergeCell ref="A15:B15"/>
    <mergeCell ref="A16:B16"/>
    <mergeCell ref="A17:B17"/>
    <mergeCell ref="A11:B11"/>
    <mergeCell ref="A12:B12"/>
    <mergeCell ref="A13:B13"/>
    <mergeCell ref="A14:B14"/>
    <mergeCell ref="A4:B4"/>
    <mergeCell ref="A5:B5"/>
    <mergeCell ref="D4:E4"/>
    <mergeCell ref="C5:E5"/>
    <mergeCell ref="D7:E7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AC62E32-6CA5-4EC2-AF68-14D31AE1BF81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 D15 D17</xm:sqref>
        </x14:conditionalFormatting>
        <x14:conditionalFormatting xmlns:xm="http://schemas.microsoft.com/office/excel/2006/main">
          <x14:cfRule type="iconSet" priority="17" id="{BFD899BE-4866-48A0-84A7-37A0264A25B7}">
            <x14:iconSet custom="1">
              <x14:cfvo type="percent">
                <xm:f>0</xm:f>
              </x14:cfvo>
              <x14:cfvo type="formula" gte="0">
                <xm:f>$C$12-$C$14-Flugzeugdaten!$Q$10</xm:f>
              </x14:cfvo>
              <x14:cfvo type="formula">
                <xm:f>$C$12-$C$14-Flugzeugdaten!$Q$9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3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C14</xm:sqref>
        </x14:conditionalFormatting>
        <x14:conditionalFormatting xmlns:xm="http://schemas.microsoft.com/office/excel/2006/main">
          <x14:cfRule type="iconSet" priority="30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Flugzeugdaten!$G$7</xm:f>
              </x14:cfvo>
              <x14:cfIcon iconSet="NoIcons" iconId="0"/>
              <x14:cfIcon iconSet="NoIcons" iconId="0"/>
              <x14:cfIcon iconSet="3Symbols" iconId="0"/>
            </x14:iconSet>
          </x14:cfRule>
          <xm:sqref>D10</xm:sqref>
        </x14:conditionalFormatting>
        <x14:conditionalFormatting xmlns:xm="http://schemas.microsoft.com/office/excel/2006/main">
          <x14:cfRule type="iconSet" priority="31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Flugzeugdaten!$H$10</xm:f>
              </x14:cfvo>
              <x14:cfIcon iconSet="NoIcons" iconId="0"/>
              <x14:cfIcon iconSet="NoIcons" iconId="0"/>
              <x14:cfIcon iconSet="3Symbols" iconId="0"/>
            </x14:iconSet>
          </x14:cfRule>
          <xm:sqref>C12</xm:sqref>
        </x14:conditionalFormatting>
        <x14:conditionalFormatting xmlns:xm="http://schemas.microsoft.com/office/excel/2006/main">
          <x14:cfRule type="iconSet" priority="32" id="{1AA49C80-2B0E-46C5-B73A-7E5A72333A3F}">
            <x14:iconSet custom="1">
              <x14:cfvo type="percent">
                <xm:f>0</xm:f>
              </x14:cfvo>
              <x14:cfvo type="formula">
                <xm:f>Flugzeugdaten!$I$8</xm:f>
              </x14:cfvo>
              <x14:cfvo type="formula" gte="0">
                <xm:f>Flugzeugdaten!$I$9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F11 F15 F17</xm:sqref>
        </x14:conditionalFormatting>
        <x14:conditionalFormatting xmlns:xm="http://schemas.microsoft.com/office/excel/2006/main">
          <x14:cfRule type="iconSet" priority="1" id="{2575ECD2-5457-4649-B3C1-1C115451707F}">
            <x14:iconSet custom="1">
              <x14:cfvo type="percent">
                <xm:f>0</xm:f>
              </x14:cfvo>
              <x14:cfvo type="formula">
                <xm:f>Flugzeugdaten!$G$5</xm:f>
              </x14:cfvo>
              <x14:cfvo type="formula" gte="0">
                <xm:f>Flugzeugdaten!$G$6</xm:f>
              </x14:cfvo>
              <x14:cfIcon iconSet="3Symbols" iconId="0"/>
              <x14:cfIcon iconSet="NoIcons" iconId="0"/>
              <x14:cfIcon iconSet="3Symbols" iconId="0"/>
            </x14:iconSet>
          </x14:cfRule>
          <xm:sqref>D9</xm:sqref>
        </x14:conditionalFormatting>
        <x14:conditionalFormatting xmlns:xm="http://schemas.microsoft.com/office/excel/2006/main">
          <x14:cfRule type="iconSet" priority="2" id="{0E612005-C39F-4C32-AF69-F3A05001084C}">
            <x14:iconSet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Flugzeugdaten!$G$6</xm:f>
              </x14:cfvo>
              <x14:cfIcon iconSet="3Symbols" iconId="0"/>
              <x14:cfIcon iconSet="NoIcons" iconId="0"/>
              <x14:cfIcon iconSet="3Symbols" iconId="0"/>
            </x14:iconSet>
          </x14:cfRule>
          <xm:sqref>E9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R18"/>
  <sheetViews>
    <sheetView workbookViewId="0">
      <selection activeCell="A4" sqref="A4:C4"/>
    </sheetView>
  </sheetViews>
  <sheetFormatPr baseColWidth="10" defaultColWidth="11.42578125" defaultRowHeight="15" x14ac:dyDescent="0.25"/>
  <cols>
    <col min="2" max="2" width="14" customWidth="1"/>
    <col min="3" max="3" width="17.85546875" style="5" customWidth="1"/>
    <col min="4" max="4" width="25.7109375" customWidth="1"/>
    <col min="5" max="5" width="11.42578125" style="4"/>
    <col min="6" max="6" width="36.7109375" style="7" customWidth="1"/>
    <col min="7" max="8" width="7.28515625" style="9" customWidth="1"/>
    <col min="9" max="9" width="12.7109375" style="4" customWidth="1"/>
    <col min="10" max="10" width="11.42578125" style="10"/>
    <col min="11" max="11" width="13.5703125" style="4" customWidth="1"/>
    <col min="12" max="12" width="14.28515625" style="4" customWidth="1"/>
    <col min="13" max="13" width="10.7109375" style="7" customWidth="1"/>
    <col min="14" max="14" width="11.42578125" style="4"/>
    <col min="15" max="15" width="23.28515625" style="7" customWidth="1"/>
    <col min="18" max="18" width="11.42578125" style="5"/>
  </cols>
  <sheetData>
    <row r="1" spans="1:18" x14ac:dyDescent="0.25">
      <c r="A1" s="116" t="s">
        <v>31</v>
      </c>
      <c r="B1" s="116"/>
      <c r="C1" s="117"/>
      <c r="D1" s="114" t="s">
        <v>32</v>
      </c>
      <c r="E1" s="66"/>
      <c r="F1" s="114" t="s">
        <v>33</v>
      </c>
      <c r="G1" s="66"/>
      <c r="H1" s="66"/>
      <c r="I1" s="115"/>
      <c r="J1" s="114" t="s">
        <v>34</v>
      </c>
      <c r="K1" s="66"/>
      <c r="L1" s="66"/>
      <c r="M1" s="114" t="s">
        <v>35</v>
      </c>
      <c r="N1" s="115"/>
      <c r="O1" s="66" t="s">
        <v>36</v>
      </c>
      <c r="P1" s="66"/>
      <c r="Q1" s="66"/>
      <c r="R1" s="115"/>
    </row>
    <row r="2" spans="1:18" x14ac:dyDescent="0.25">
      <c r="A2" s="118" t="s">
        <v>37</v>
      </c>
      <c r="B2" s="118"/>
      <c r="C2" s="5" t="s">
        <v>66</v>
      </c>
      <c r="D2" s="8" t="s">
        <v>38</v>
      </c>
      <c r="E2" s="19" t="s">
        <v>39</v>
      </c>
      <c r="F2" s="8" t="s">
        <v>40</v>
      </c>
      <c r="G2" s="17" t="s">
        <v>8</v>
      </c>
      <c r="H2" s="17" t="s">
        <v>10</v>
      </c>
      <c r="I2" s="18" t="s">
        <v>41</v>
      </c>
      <c r="J2" s="20" t="s">
        <v>12</v>
      </c>
      <c r="K2" s="19" t="s">
        <v>19</v>
      </c>
      <c r="L2" s="19" t="s">
        <v>20</v>
      </c>
      <c r="M2" s="8" t="s">
        <v>42</v>
      </c>
      <c r="N2" s="18" t="s">
        <v>43</v>
      </c>
      <c r="O2" s="8" t="s">
        <v>44</v>
      </c>
      <c r="P2" s="15" t="s">
        <v>8</v>
      </c>
      <c r="Q2" s="15" t="s">
        <v>10</v>
      </c>
      <c r="R2" s="16" t="s">
        <v>39</v>
      </c>
    </row>
    <row r="3" spans="1:18" x14ac:dyDescent="0.25">
      <c r="A3" s="119" t="s">
        <v>45</v>
      </c>
      <c r="B3" s="119"/>
      <c r="C3" s="29" t="s">
        <v>67</v>
      </c>
      <c r="D3" t="s">
        <v>62</v>
      </c>
      <c r="E3" s="4">
        <v>0.45</v>
      </c>
      <c r="F3" s="7" t="s">
        <v>46</v>
      </c>
      <c r="G3" s="9">
        <v>472.5</v>
      </c>
      <c r="J3" s="10">
        <f>G3</f>
        <v>472.5</v>
      </c>
      <c r="K3" s="4">
        <f>I9</f>
        <v>0.44</v>
      </c>
      <c r="L3" s="4">
        <f>J3*K3</f>
        <v>207.9</v>
      </c>
      <c r="M3" s="7" t="s">
        <v>47</v>
      </c>
      <c r="N3" s="4">
        <v>0.72</v>
      </c>
      <c r="O3" s="7" t="s">
        <v>48</v>
      </c>
      <c r="P3" s="9">
        <v>560</v>
      </c>
      <c r="Q3" s="9"/>
      <c r="R3" s="14"/>
    </row>
    <row r="4" spans="1:18" x14ac:dyDescent="0.25">
      <c r="A4" s="66" t="s">
        <v>68</v>
      </c>
      <c r="B4" s="66"/>
      <c r="C4" s="115"/>
      <c r="D4" t="s">
        <v>51</v>
      </c>
      <c r="E4" s="4">
        <v>1.3</v>
      </c>
      <c r="F4" s="7" t="s">
        <v>49</v>
      </c>
      <c r="G4" s="9">
        <v>472.5</v>
      </c>
      <c r="J4" s="10">
        <f>A6+G5</f>
        <v>377</v>
      </c>
      <c r="K4" s="4">
        <f>K3</f>
        <v>0.44</v>
      </c>
      <c r="L4" s="4">
        <f>J4*K4</f>
        <v>165.88</v>
      </c>
      <c r="O4" s="7" t="s">
        <v>50</v>
      </c>
      <c r="P4" s="9">
        <v>370</v>
      </c>
      <c r="Q4" s="9"/>
      <c r="R4" s="14"/>
    </row>
    <row r="5" spans="1:18" x14ac:dyDescent="0.25">
      <c r="A5" s="15" t="s">
        <v>12</v>
      </c>
      <c r="B5" s="15" t="s">
        <v>19</v>
      </c>
      <c r="C5" s="16" t="s">
        <v>20</v>
      </c>
      <c r="D5" t="s">
        <v>63</v>
      </c>
      <c r="E5" s="4">
        <v>1.05</v>
      </c>
      <c r="F5" s="7" t="s">
        <v>64</v>
      </c>
      <c r="G5" s="9">
        <v>60</v>
      </c>
      <c r="J5" s="10">
        <f>J4</f>
        <v>377</v>
      </c>
      <c r="K5" s="4">
        <f>I8</f>
        <v>0.22</v>
      </c>
      <c r="L5" s="4">
        <f>J5*K5</f>
        <v>82.94</v>
      </c>
      <c r="O5" s="7" t="s">
        <v>53</v>
      </c>
      <c r="P5" s="9"/>
      <c r="Q5" s="9"/>
      <c r="R5" s="14">
        <v>0.2</v>
      </c>
    </row>
    <row r="6" spans="1:18" x14ac:dyDescent="0.25">
      <c r="A6" s="1">
        <v>317</v>
      </c>
      <c r="B6" s="4">
        <f>C6/A6</f>
        <v>0.2616656151419558</v>
      </c>
      <c r="C6" s="6">
        <v>82.947999999999993</v>
      </c>
      <c r="F6" s="7" t="s">
        <v>65</v>
      </c>
      <c r="G6" s="9">
        <v>100</v>
      </c>
      <c r="J6" s="10">
        <f>J3</f>
        <v>472.5</v>
      </c>
      <c r="K6" s="4">
        <f>K5</f>
        <v>0.22</v>
      </c>
      <c r="L6" s="4">
        <f>J6*K6</f>
        <v>103.95</v>
      </c>
      <c r="O6" s="7" t="s">
        <v>59</v>
      </c>
      <c r="P6" s="9"/>
      <c r="Q6" s="9"/>
      <c r="R6" s="14"/>
    </row>
    <row r="7" spans="1:18" x14ac:dyDescent="0.25">
      <c r="F7" s="7" t="s">
        <v>52</v>
      </c>
      <c r="G7" s="9">
        <v>20</v>
      </c>
      <c r="J7" s="10">
        <f>J3</f>
        <v>472.5</v>
      </c>
      <c r="K7" s="4">
        <f>K3</f>
        <v>0.44</v>
      </c>
      <c r="L7" s="4">
        <f>L3</f>
        <v>207.9</v>
      </c>
      <c r="O7" s="7" t="s">
        <v>60</v>
      </c>
      <c r="P7" s="9"/>
      <c r="Q7" s="9"/>
      <c r="R7" s="14"/>
    </row>
    <row r="8" spans="1:18" x14ac:dyDescent="0.25">
      <c r="F8" s="7" t="s">
        <v>55</v>
      </c>
      <c r="I8" s="14">
        <v>0.22</v>
      </c>
      <c r="J8" s="9"/>
      <c r="O8" s="7" t="s">
        <v>61</v>
      </c>
      <c r="P8" s="9"/>
      <c r="Q8" s="9"/>
      <c r="R8" s="14"/>
    </row>
    <row r="9" spans="1:18" x14ac:dyDescent="0.25">
      <c r="F9" s="7" t="s">
        <v>56</v>
      </c>
      <c r="I9" s="4">
        <v>0.44</v>
      </c>
      <c r="O9" s="7" t="s">
        <v>57</v>
      </c>
      <c r="P9" s="9"/>
      <c r="Q9" s="2">
        <f>12.3*0.5</f>
        <v>6.15</v>
      </c>
      <c r="R9" s="14"/>
    </row>
    <row r="10" spans="1:18" x14ac:dyDescent="0.25">
      <c r="F10" s="7" t="s">
        <v>54</v>
      </c>
      <c r="H10" s="2">
        <v>59</v>
      </c>
      <c r="I10" s="14"/>
      <c r="O10" s="7" t="s">
        <v>58</v>
      </c>
      <c r="P10" s="9"/>
      <c r="Q10" s="9">
        <f>1.5*Q9</f>
        <v>9.2250000000000014</v>
      </c>
      <c r="R10" s="14"/>
    </row>
    <row r="11" spans="1:18" x14ac:dyDescent="0.25">
      <c r="P11" s="9"/>
      <c r="Q11" s="9"/>
      <c r="R11" s="14"/>
    </row>
    <row r="12" spans="1:18" x14ac:dyDescent="0.25">
      <c r="R12" s="14"/>
    </row>
    <row r="18" spans="9:10" x14ac:dyDescent="0.25">
      <c r="I18" s="14"/>
      <c r="J18" s="9"/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K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Dateneingabe!Druckbereich</vt:lpstr>
      <vt:lpstr>Druckansicht!Druckbereich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Jan Klitzke</cp:lastModifiedBy>
  <cp:revision/>
  <cp:lastPrinted>2022-12-09T17:06:19Z</cp:lastPrinted>
  <dcterms:created xsi:type="dcterms:W3CDTF">2021-02-05T21:44:30Z</dcterms:created>
  <dcterms:modified xsi:type="dcterms:W3CDTF">2022-12-12T14:36:36Z</dcterms:modified>
  <cp:category/>
  <cp:contentStatus/>
</cp:coreProperties>
</file>